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yY0kX7OgTipIEwZ/wIQKYVd7x/phdL4SDvyvhBRwhiZQAdDd4R2/WbSFrR3TXXas7wcWFqw5Xp3+ILvz4COt6g==" workbookSaltValue="DcKFvkT3M4e4Uom7azw3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BG15" i="13"/>
  <c r="BE15" i="13"/>
  <c r="AX20" i="20"/>
  <c r="AC19" i="8" l="1"/>
  <c r="C12" i="14"/>
  <c r="K12" i="14" s="1"/>
  <c r="B13" i="2"/>
  <c r="BG10" i="8"/>
  <c r="X12" i="21"/>
  <c r="BH11" i="16"/>
  <c r="BM16" i="11"/>
  <c r="BF10" i="11"/>
  <c r="BM12" i="11"/>
  <c r="BJ12" i="11"/>
  <c r="BK17" i="11"/>
  <c r="BU11" i="17"/>
  <c r="BV16" i="16"/>
  <c r="BV15" i="16"/>
  <c r="BU9" i="17"/>
  <c r="BU17" i="17"/>
  <c r="BU12" i="17"/>
  <c r="AZ16" i="11"/>
  <c r="P15" i="17"/>
  <c r="BL15" i="11"/>
  <c r="BJ10" i="11"/>
  <c r="BH11" i="11"/>
  <c r="S17" i="17"/>
  <c r="BH12" i="16"/>
  <c r="L12" i="2"/>
  <c r="BH17" i="16"/>
  <c r="BL17" i="11"/>
  <c r="V11" i="11"/>
  <c r="BI15" i="11"/>
  <c r="BG15" i="11"/>
  <c r="AP17" i="20"/>
  <c r="BW17" i="20"/>
  <c r="BW16" i="20"/>
  <c r="BW15" i="20"/>
  <c r="BV10" i="16"/>
  <c r="S11" i="17"/>
  <c r="AZ11" i="11"/>
  <c r="S15" i="16"/>
  <c r="S18" i="16" s="1"/>
  <c r="BF12" i="11"/>
  <c r="BL10" i="11"/>
  <c r="BK16" i="11"/>
  <c r="BG16" i="11"/>
  <c r="BM9" i="11"/>
  <c r="BK10" i="11"/>
  <c r="S15" i="17"/>
  <c r="S16" i="17"/>
  <c r="L17" i="2"/>
  <c r="V10" i="16"/>
  <c r="V9" i="16"/>
  <c r="X17" i="17"/>
  <c r="X15" i="16"/>
  <c r="X18" i="16" s="1"/>
  <c r="BE16" i="13"/>
  <c r="BF9" i="8"/>
  <c r="AB13" i="21"/>
  <c r="AB19" i="21" s="1"/>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BG10" i="11"/>
  <c r="BL9" i="11"/>
  <c r="BF11" i="11"/>
  <c r="T9" i="11"/>
  <c r="AZ19" i="11"/>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9" i="21"/>
  <c r="BF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<sst xmlns="http://schemas.openxmlformats.org/spreadsheetml/2006/main" count="2102" uniqueCount="918">
  <si>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</si>
  <si>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</si>
  <si>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</si>
  <si>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</si>
  <si>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</si>
  <si>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</si>
  <si>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</si>
  <si>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</si>
  <si>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</si>
  <si>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</si>
  <si>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</si>
  <si>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</si>
  <si>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</si>
  <si>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</si>
  <si>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</si>
  <si>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</si>
  <si>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</si>
  <si>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</si>
  <si>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</si>
  <si>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</si>
  <si>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</si>
  <si>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</si>
  <si>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</si>
  <si>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</si>
  <si>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</si>
  <si>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</si>
  <si>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</si>
  <si>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</si>
  <si>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</si>
  <si>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</si>
  <si>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</si>
  <si>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</si>
  <si>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</si>
  <si>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</si>
  <si>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</si>
  <si>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</si>
  <si>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</si>
  <si>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</si>
  <si>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</si>
  <si>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</si>
  <si>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</si>
  <si>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</si>
  <si>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</si>
  <si>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</si>
  <si>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</si>
  <si>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</si>
  <si>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</si>
  <si>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</si>
  <si>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</si>
  <si>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</si>
  <si>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</si>
  <si>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</si>
  <si>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</si>
  <si>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</si>
  <si>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</si>
  <si>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</si>
  <si>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</si>
  <si>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</si>
  <si>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</si>
  <si>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</si>
  <si>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</si>
  <si>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</si>
  <si>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</si>
  <si>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</si>
  <si>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</si>
  <si>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</si>
  <si>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</si>
  <si>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</si>
  <si>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</si>
  <si>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</si>
  <si>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</si>
  <si>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</si>
  <si>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</si>
  <si>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</si>
  <si>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</si>
  <si>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</si>
  <si>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</si>
  <si>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</si>
  <si>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</si>
  <si>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</si>
  <si>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</si>
  <si>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</si>
  <si>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</si>
  <si>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</si>
  <si>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</si>
  <si>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</si>
  <si>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</si>
  <si>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</si>
  <si>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</si>
  <si>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</si>
  <si>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</si>
  <si>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</si>
  <si>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</si>
  <si>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</si>
  <si>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</si>
  <si>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</si>
  <si>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</si>
  <si>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</si>
  <si>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</si>
  <si>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</si>
  <si>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</si>
  <si>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</si>
  <si>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</si>
  <si>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</si>
  <si>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</si>
  <si>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</si>
  <si>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</si>
  <si>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</si>
  <si>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</si>
  <si>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</si>
  <si>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</si>
  <si>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</si>
  <si>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</si>
  <si>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</si>
  <si>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</si>
  <si>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</si>
  <si>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</si>
  <si>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</si>
  <si>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</si>
  <si>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</si>
  <si>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</si>
  <si>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</si>
  <si>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</si>
  <si>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</si>
  <si>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</si>
  <si>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</si>
  <si>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</si>
  <si>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</si>
  <si>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</si>
  <si>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</si>
  <si>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</si>
  <si>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</si>
  <si>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</si>
  <si>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</si>
  <si>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</si>
  <si>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</si>
  <si>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</si>
  <si>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</si>
  <si>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</si>
  <si>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</si>
  <si>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</si>
  <si>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</si>
  <si>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</si>
  <si>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</si>
  <si>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</si>
  <si>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</si>
  <si>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</si>
  <si>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</si>
  <si>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</si>
  <si>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</si>
  <si>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</si>
  <si>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</si>
  <si>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</si>
  <si>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</si>
  <si>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</si>
  <si>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</si>
  <si>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</si>
  <si>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</si>
  <si>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</si>
  <si>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</si>
  <si>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</si>
  <si>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</si>
  <si>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</si>
  <si>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</si>
  <si>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</si>
  <si>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</si>
  <si>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</si>
  <si>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</si>
  <si>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</si>
  <si>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</si>
  <si>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</si>
  <si>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</si>
  <si>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</si>
  <si>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</si>
  <si>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</si>
  <si>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</si>
  <si>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</si>
  <si>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</si>
  <si>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</si>
  <si>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</si>
  <si>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</si>
  <si>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</si>
  <si>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</si>
  <si>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</si>
  <si>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</si>
  <si>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</si>
  <si>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</si>
  <si>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</si>
  <si>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</si>
  <si>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</si>
  <si>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</si>
  <si>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</si>
  <si>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</si>
  <si>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</si>
  <si>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</si>
  <si>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</si>
  <si>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</si>
  <si>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</si>
  <si>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</si>
  <si>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</si>
  <si>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</si>
  <si>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</si>
  <si>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</si>
  <si>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</si>
  <si>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</si>
  <si>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</si>
  <si>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</si>
  <si>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</si>
  <si>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</si>
  <si>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</si>
  <si>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</si>
  <si>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</si>
  <si>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</si>
  <si>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</si>
  <si>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</si>
  <si>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</si>
  <si>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</si>
  <si>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</si>
  <si>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</si>
  <si>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</si>
  <si>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</si>
  <si>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</si>
  <si>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</si>
  <si>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</si>
  <si>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</si>
  <si>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</si>
  <si>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</si>
  <si>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</si>
  <si>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</si>
  <si>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</si>
  <si>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</si>
  <si>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</si>
  <si>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</si>
  <si>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</si>
  <si>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</si>
  <si>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</si>
  <si>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</si>
  <si>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</si>
  <si>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</si>
  <si>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</si>
  <si>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</si>
  <si>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</si>
  <si>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</si>
  <si>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</si>
  <si>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</si>
  <si>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</si>
  <si>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</si>
  <si>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</si>
  <si>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</si>
  <si>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</si>
  <si>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</si>
  <si>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</si>
  <si>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</si>
  <si>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</si>
  <si>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</si>
  <si>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</si>
  <si>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</si>
  <si>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</si>
  <si>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</si>
  <si>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</si>
  <si>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</si>
  <si>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</si>
  <si>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</si>
  <si>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</si>
  <si>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</si>
  <si>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</si>
  <si>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</si>
  <si>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</si>
  <si>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</si>
  <si>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</si>
  <si>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</si>
  <si>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</si>
  <si>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</si>
  <si>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</si>
  <si>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</si>
  <si>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</si>
  <si>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</si>
  <si>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</si>
  <si>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</si>
  <si>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</si>
  <si>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</si>
  <si>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</si>
  <si>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</si>
  <si>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</si>
  <si>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</si>
  <si>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</si>
  <si>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</si>
  <si>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</si>
  <si>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</si>
  <si>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</si>
  <si>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</si>
  <si>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</si>
  <si>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</si>
  <si>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</si>
  <si>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</si>
  <si>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</si>
  <si>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</si>
  <si>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</si>
  <si>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</si>
  <si>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</si>
  <si>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</si>
  <si>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</si>
  <si>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</si>
  <si>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</si>
  <si>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</si>
  <si>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</si>
  <si>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</si>
  <si>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</si>
  <si>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</si>
  <si>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</si>
  <si>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</si>
  <si>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</si>
  <si>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</si>
  <si>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</si>
  <si>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</si>
  <si>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</si>
  <si>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</si>
  <si>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</si>
  <si>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</si>
  <si>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</si>
  <si>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</si>
  <si>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</si>
  <si>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</si>
  <si>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</si>
  <si>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</si>
  <si>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</si>
  <si>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</si>
  <si>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</si>
  <si>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</si>
  <si>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</si>
  <si>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</si>
  <si>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</si>
  <si>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</si>
  <si>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</si>
  <si>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</si>
  <si>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</si>
  <si>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</si>
  <si>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</si>
  <si>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</si>
  <si>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</si>
  <si>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</si>
  <si>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</si>
  <si>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</si>
  <si>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</si>
  <si>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</si>
  <si>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</si>
  <si>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</si>
  <si>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</si>
  <si>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</si>
  <si>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</si>
  <si>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</si>
  <si>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</si>
  <si>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</si>
  <si>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</si>
  <si>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</si>
  <si>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</si>
  <si>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</si>
  <si>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</si>
  <si>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</si>
  <si>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</si>
  <si>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</si>
  <si>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</si>
  <si>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</si>
  <si>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</si>
  <si>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</si>
  <si>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</si>
  <si>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</si>
  <si>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</si>
  <si>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</si>
  <si>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</si>
  <si>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</si>
  <si>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</si>
  <si>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</si>
  <si>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</si>
  <si>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</si>
  <si>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</si>
  <si>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</si>
  <si>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</si>
  <si>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</si>
  <si>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</si>
  <si>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</si>
  <si>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</si>
  <si>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</si>
  <si>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</si>
  <si>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</si>
  <si>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</si>
  <si>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</si>
  <si>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</si>
  <si>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</si>
  <si>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</si>
  <si>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</si>
  <si>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</si>
  <si>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</si>
  <si>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</si>
  <si>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</si>
  <si>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</si>
  <si>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</si>
  <si>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</si>
  <si>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</si>
  <si>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</si>
  <si>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</si>
  <si>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</si>
  <si>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</si>
  <si>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</si>
  <si>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</si>
  <si>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</si>
  <si>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</si>
  <si>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</si>
  <si>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</si>
  <si>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</si>
  <si>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</si>
  <si>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</si>
  <si>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</si>
  <si>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</si>
  <si>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</si>
  <si>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</si>
  <si>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</si>
  <si>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</si>
  <si>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</si>
  <si>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</si>
  <si>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</si>
  <si>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</si>
  <si>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</si>
  <si>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</si>
  <si>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</si>
  <si>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</si>
  <si>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</si>
  <si>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</si>
  <si>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</si>
  <si>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</si>
  <si>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</si>
  <si>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</si>
  <si>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</si>
  <si>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</si>
  <si>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</si>
  <si>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</si>
  <si>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</si>
  <si>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</si>
  <si>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</si>
  <si>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</si>
  <si>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</si>
  <si>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</si>
  <si>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</si>
  <si>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</si>
  <si>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</si>
  <si>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</si>
  <si>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</si>
  <si>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</si>
  <si>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</si>
  <si>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</si>
  <si>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</si>
  <si>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</si>
  <si>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</si>
  <si>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</si>
  <si>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</si>
  <si>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</si>
  <si>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</si>
  <si>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</si>
  <si>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</si>
  <si>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</si>
  <si>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</si>
  <si>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</si>
  <si>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</si>
  <si>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</si>
  <si>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</si>
  <si>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</si>
  <si>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</si>
  <si>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</si>
  <si>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</si>
  <si>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</si>
  <si>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</si>
  <si>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</si>
  <si>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</si>
  <si>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</si>
  <si>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</si>
  <si>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</si>
  <si>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</si>
  <si>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</si>
  <si>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</si>
  <si>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</si>
  <si>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</si>
  <si>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</si>
  <si>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</si>
  <si>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</si>
  <si>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</si>
  <si>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</si>
  <si>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</si>
  <si>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</si>
  <si>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</si>
  <si>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</si>
  <si>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</si>
  <si>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</si>
  <si>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</si>
  <si>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</si>
  <si>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</si>
  <si>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</si>
  <si>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</si>
  <si>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</si>
  <si>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</si>
  <si>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</si>
  <si>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</si>
  <si>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</si>
  <si>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</si>
  <si>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</si>
  <si>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</si>
  <si>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</si>
  <si>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</si>
  <si>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</si>
  <si>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</si>
  <si>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</si>
  <si>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</si>
  <si>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</si>
  <si>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</si>
  <si>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</si>
  <si>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</si>
  <si>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</si>
  <si>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</si>
  <si>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</si>
  <si>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</si>
  <si>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</si>
  <si>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</si>
  <si>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</si>
  <si>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</si>
  <si>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</si>
  <si>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</si>
  <si>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</si>
  <si>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</si>
  <si>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</si>
  <si>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</si>
  <si>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</si>
  <si>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</si>
  <si>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</si>
  <si>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</si>
  <si>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</si>
  <si>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</si>
  <si>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</si>
  <si>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</si>
  <si>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</si>
  <si>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</si>
  <si>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</si>
  <si>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</si>
  <si>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</si>
  <si>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</si>
  <si>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</si>
  <si>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</si>
  <si>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</si>
  <si>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</si>
  <si>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</si>
  <si>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</si>
  <si>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</si>
  <si>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</si>
  <si>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</si>
  <si>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</si>
  <si>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</si>
  <si>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</si>
  <si>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</si>
  <si>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</si>
  <si>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</si>
  <si>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</si>
  <si>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</si>
  <si>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</si>
  <si>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</si>
  <si>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</si>
  <si>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</si>
  <si>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</si>
  <si>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</si>
  <si>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</si>
  <si>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</si>
  <si>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</si>
  <si>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</si>
  <si>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</si>
  <si>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</si>
  <si>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</si>
  <si>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</si>
  <si>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</si>
  <si>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</si>
  <si>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</si>
  <si>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</si>
  <si>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</si>
  <si>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</si>
  <si>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</si>
  <si>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</si>
  <si>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</si>
  <si>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</si>
  <si>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</si>
  <si>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</si>
  <si>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</si>
  <si>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</si>
  <si>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</si>
  <si>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</si>
  <si>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</si>
  <si>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</si>
  <si>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</si>
  <si>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</si>
  <si>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</si>
  <si>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</si>
  <si>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</si>
  <si>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</si>
  <si>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</si>
  <si>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</si>
  <si>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</si>
  <si>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</si>
  <si>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</si>
  <si>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</si>
  <si>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</si>
  <si>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</si>
  <si>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</si>
  <si>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</si>
  <si>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</si>
  <si>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</si>
  <si>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</si>
  <si>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</si>
  <si>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</si>
  <si>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</si>
  <si>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</si>
  <si>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</si>
  <si>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</si>
  <si>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</si>
  <si>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</si>
  <si>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</si>
  <si>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</si>
  <si>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</si>
  <si>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</si>
  <si>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</si>
  <si>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</si>
  <si>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</si>
  <si>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</si>
  <si>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</si>
  <si>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</si>
  <si>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</si>
  <si>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</si>
  <si>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</si>
  <si>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</si>
  <si>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</si>
  <si>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</si>
  <si>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</si>
  <si>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</si>
  <si>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</si>
  <si>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</si>
  <si>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</si>
  <si>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</si>
  <si>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</si>
  <si>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</si>
  <si>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</si>
  <si>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</si>
  <si>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</si>
  <si>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</si>
  <si>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</si>
  <si>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</si>
  <si>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</si>
  <si>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</si>
  <si>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</si>
  <si>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</si>
  <si>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</si>
  <si>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</si>
  <si>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</si>
  <si>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</si>
  <si>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</si>
  <si>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</si>
  <si>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</si>
  <si>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</si>
  <si>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</si>
  <si>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</si>
  <si>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</si>
  <si>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</si>
  <si>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</si>
  <si>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</si>
  <si>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</si>
  <si>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</si>
  <si>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</si>
  <si>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</si>
  <si>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</si>
  <si>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</si>
  <si>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</si>
  <si>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</si>
  <si>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</si>
  <si>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</si>
  <si>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</si>
  <si>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</si>
  <si>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</si>
  <si>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</si>
  <si>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</si>
  <si>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</si>
  <si>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</si>
  <si>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</si>
  <si>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</si>
  <si>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</si>
  <si>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</si>
  <si>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</si>
  <si>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</si>
  <si>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</si>
  <si>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</si>
  <si>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</si>
  <si>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</si>
  <si>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</si>
  <si>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</si>
  <si>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</si>
  <si>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</si>
  <si>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</si>
  <si>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</si>
  <si>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</si>
  <si>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</si>
  <si>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</si>
  <si>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</si>
  <si>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</si>
  <si>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</si>
  <si>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</si>
  <si>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</si>
  <si>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</si>
  <si>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</si>
  <si>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</si>
  <si>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</si>
  <si>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</si>
  <si>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</si>
  <si>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</si>
  <si>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</si>
  <si>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</si>
  <si>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</si>
  <si>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</si>
  <si>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</si>
  <si>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</si>
  <si>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</si>
  <si>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</si>
  <si>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</si>
  <si>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</si>
  <si>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</si>
  <si>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</si>
  <si>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</si>
  <si>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</si>
  <si>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</si>
  <si>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</si>
  <si>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</si>
  <si>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</si>
  <si>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</si>
  <si>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</si>
  <si>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</si>
  <si>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</si>
  <si>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</si>
  <si>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</si>
  <si>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</si>
  <si>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</si>
  <si>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</si>
  <si>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</si>
  <si>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</si>
  <si>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</si>
  <si>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</si>
  <si>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</si>
  <si>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</si>
  <si>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</si>
  <si>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</si>
  <si>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</si>
  <si>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</si>
  <si>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</si>
  <si>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</si>
  <si>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</si>
  <si>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</si>
  <si>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</si>
  <si>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</si>
  <si>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</si>
  <si>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</si>
  <si>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</si>
  <si>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</si>
  <si>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</si>
  <si>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</si>
  <si>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</si>
  <si>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</si>
  <si>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</si>
  <si>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</si>
  <si>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</si>
  <si>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</si>
  <si>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</si>
  <si>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</si>
  <si>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</si>
  <si>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</si>
  <si>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</si>
  <si>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</si>
  <si>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</si>
  <si>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</si>
  <si>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</si>
  <si>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</si>
  <si>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</si>
  <si>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</si>
  <si>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</si>
  <si>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</si>
  <si>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</si>
  <si>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</si>
  <si>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</si>
  <si>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</si>
  <si>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</si>
  <si>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</si>
  <si>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</si>
  <si>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</si>
  <si>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</si>
  <si>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</si>
  <si>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</si>
  <si>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</si>
  <si>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</si>
  <si>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</si>
  <si>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</si>
  <si>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</si>
  <si>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</si>
  <si>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</si>
  <si>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</si>
  <si>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</si>
  <si>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</si>
  <si>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</si>
  <si>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</si>
  <si>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</si>
  <si>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</si>
  <si>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</si>
  <si>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</si>
  <si>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</si>
  <si>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</si>
  <si>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</si>
  <si>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</si>
  <si>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</si>
  <si>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</si>
  <si>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</si>
  <si>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</si>
  <si>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</si>
  <si>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</si>
  <si>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</si>
  <si>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</si>
  <si>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</si>
  <si>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</si>
  <si>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</si>
  <si>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</si>
  <si>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</si>
  <si>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</si>
  <si>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</si>
  <si>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</si>
  <si>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</si>
  <si>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</si>
  <si>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</si>
  <si>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</si>
  <si>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</si>
  <si>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</si>
  <si>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</si>
  <si>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</si>
  <si>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</si>
  <si>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</si>
  <si>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</si>
  <si>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</si>
  <si>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</si>
  <si>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</si>
  <si>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</si>
  <si>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</si>
  <si>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</si>
  <si>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</si>
  <si>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</si>
  <si>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</si>
  <si>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</si>
  <si>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</si>
  <si>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</si>
  <si>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</si>
  <si>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</si>
  <si>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</si>
  <si>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</si>
  <si>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</si>
  <si>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</si>
  <si>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</si>
  <si>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</si>
  <si>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</si>
  <si>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</si>
  <si>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</si>
  <si>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</si>
  <si>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</si>
  <si>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</si>
  <si>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</si>
  <si>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</si>
  <si>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</si>
  <si>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</si>
  <si>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</si>
  <si>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</si>
  <si>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</si>
  <si>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</si>
  <si>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</si>
  <si>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</si>
  <si>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</si>
  <si>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</si>
  <si>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</si>
  <si>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</si>
  <si>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</si>
  <si>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</si>
  <si>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</si>
  <si>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</si>
  <si>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</si>
  <si>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</si>
  <si>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</si>
  <si>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</si>
  <si>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</si>
  <si>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</si>
  <si>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</si>
  <si>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</si>
  <si>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</si>
  <si>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</si>
  <si>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</si>
  <si>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</si>
  <si>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</si>
  <si>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</si>
  <si>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</si>
  <si>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</si>
  <si>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</si>
  <si>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</si>
  <si>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</si>
  <si>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</si>
  <si>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</si>
  <si>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</si>
  <si>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</si>
  <si>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</si>
  <si>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</si>
  <si>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</si>
  <si>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</si>
  <si>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</si>
  <si>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</si>
  <si>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</si>
  <si>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</si>
  <si>
    <t>CERVERA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</si>
</sst>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aIygO3bVofT3w37How4T6HVbegVvSgIjS+Qum58Q2911ThnI+ZuM2Ah99FwjsbDyRP2hwaLQC/SWwVlwC8bTg==" saltValue="IbouL8+5FGxhAu2HsYXb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CERVERA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32</v>
      </c>
      <c r="D10" s="404">
        <f>IF(ISNUMBER(C10/Datos!BH10),C10/Datos!BH10," - ")</f>
        <v>32</v>
      </c>
      <c r="E10" s="403">
        <f>IF(ISNUMBER(Datos!J10),Datos!J10," - ")</f>
        <v>2</v>
      </c>
      <c r="F10" s="404">
        <f>IF(ISNUMBER(E10/B10),E10/B10," - ")</f>
        <v>2</v>
      </c>
      <c r="G10" s="403">
        <f>IF(ISNUMBER(Datos!K10),Datos!K10," - ")</f>
        <v>0</v>
      </c>
      <c r="H10" s="404">
        <f>IF(ISNUMBER(G10/B10),G10/B10," - ")</f>
        <v>0</v>
      </c>
      <c r="I10" s="403">
        <f>IF(ISNUMBER(Datos!L10),Datos!L10," - ")</f>
        <v>34</v>
      </c>
      <c r="J10" s="404">
        <f>IF(ISNUMBER(I10/B10),I10/B10," - ")</f>
        <v>34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1898</v>
      </c>
      <c r="D12" s="404">
        <f>IF(ISNUMBER(C12/Datos!BH12),C12/Datos!BH12," - ")</f>
        <v>949</v>
      </c>
      <c r="E12" s="403">
        <f>IF(ISNUMBER(IF(J_V="SI",Datos!J12,Datos!J12+Datos!Z12)),IF(J_V="SI",Datos!J12,Datos!J12+Datos!Z12)," - ")</f>
        <v>785</v>
      </c>
      <c r="F12" s="404">
        <f>IF(ISNUMBER(E12/B12),E12/B12," - ")</f>
        <v>392.5</v>
      </c>
      <c r="G12" s="403">
        <f>IF(ISNUMBER(IF(J_V="SI",Datos!K12,Datos!K12+Datos!AA12)),IF(J_V="SI",Datos!K12,Datos!K12+Datos!AA12)," - ")</f>
        <v>708</v>
      </c>
      <c r="H12" s="404">
        <f>IF(ISNUMBER(G12/B12),G12/B12," - ")</f>
        <v>354</v>
      </c>
      <c r="I12" s="403">
        <f>IF(ISNUMBER(IF(J_V="SI",Datos!L12,Datos!L12+Datos!AB12)),IF(J_V="SI",Datos!L12,Datos!L12+Datos!AB12)," - ")</f>
        <v>1975</v>
      </c>
      <c r="J12" s="404">
        <f>IF(ISNUMBER(I12/B12),I12/B12," - ")</f>
        <v>987.5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1930</v>
      </c>
      <c r="D13" s="850" t="str">
        <f>IF(ISNUMBER(C13/Datos!BI13),C13/Datos!BI13," - ")</f>
        <v xml:space="preserve"> - </v>
      </c>
      <c r="E13" s="849">
        <f>SUBTOTAL(9,E8:E12)</f>
        <v>787</v>
      </c>
      <c r="F13" s="850">
        <f>IF(ISNUMBER(E13/B13),E13/B13," - ")</f>
        <v>393.5</v>
      </c>
      <c r="G13" s="849">
        <f>SUBTOTAL(9,G8:G12)</f>
        <v>708</v>
      </c>
      <c r="H13" s="850">
        <f>IF(ISNUMBER(G13/B13),G13/B13," - ")</f>
        <v>354</v>
      </c>
      <c r="I13" s="849">
        <f>SUBTOTAL(9,I8:I12)</f>
        <v>2009</v>
      </c>
      <c r="J13" s="850">
        <f>IF(ISNUMBER(I13/B13),I13/B13," - ")</f>
        <v>1004.5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1285</v>
      </c>
      <c r="D16" s="404">
        <f>IF(ISNUMBER(C16/Datos!BH16),C16/Datos!BH16," - ")</f>
        <v>642.5</v>
      </c>
      <c r="E16" s="403">
        <f>IF(ISNUMBER(IF(D_I="SI",Datos!J16,Datos!J16+Datos!AD16)),IF(D_I="SI",Datos!J16,Datos!J16+Datos!AD16)," - ")</f>
        <v>585</v>
      </c>
      <c r="F16" s="404">
        <f>IF(ISNUMBER(E16/B16),E16/B16," - ")</f>
        <v>292.5</v>
      </c>
      <c r="G16" s="403">
        <f>IF(ISNUMBER(IF(D_I="SI",Datos!K16,Datos!K16+Datos!AE16)),IF(D_I="SI",Datos!K16,Datos!K16+Datos!AE16)," - ")</f>
        <v>427</v>
      </c>
      <c r="H16" s="404">
        <f>IF(ISNUMBER(G16/B16),G16/B16," - ")</f>
        <v>213.5</v>
      </c>
      <c r="I16" s="403">
        <f>IF(ISNUMBER(IF(D_I="SI",Datos!L16,Datos!L16+Datos!AF16)),IF(D_I="SI",Datos!L16,Datos!L16+Datos!AF16)," - ")</f>
        <v>1443</v>
      </c>
      <c r="J16" s="404">
        <f>IF(ISNUMBER(I16/B16),I16/B16," - ")</f>
        <v>721.5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64</v>
      </c>
      <c r="F17" s="404">
        <f>IF(ISNUMBER(E17/B17),E17/B17," - ")</f>
        <v>64</v>
      </c>
      <c r="G17" s="403">
        <f>IF(ISNUMBER(IF(D_I="SI",Datos!K17,Datos!K17+Datos!AE17)),IF(D_I="SI",Datos!K17,Datos!K17+Datos!AE17)," - ")</f>
        <v>86</v>
      </c>
      <c r="H17" s="404">
        <f>IF(ISNUMBER(G17/B17),G17/B17," - ")</f>
        <v>86</v>
      </c>
      <c r="I17" s="403">
        <f>IF(ISNUMBER(IF(D_I="SI",Datos!L17,Datos!L17+Datos!AF17)),IF(D_I="SI",Datos!L17,Datos!L17+Datos!AF17)," - ")</f>
        <v>75</v>
      </c>
      <c r="J17" s="404">
        <f>IF(ISNUMBER(I17/B17),I17/B17," - ")</f>
        <v>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1382</v>
      </c>
      <c r="D18" s="850" t="str">
        <f>IF(ISNUMBER(C18/Datos!BI18),C18/Datos!BI18," - ")</f>
        <v xml:space="preserve"> - </v>
      </c>
      <c r="E18" s="849">
        <f>SUBTOTAL(9,E14:E17)</f>
        <v>649</v>
      </c>
      <c r="F18" s="850">
        <f>IF(ISNUMBER(E18/B18),E18/B18," - ")</f>
        <v>324.5</v>
      </c>
      <c r="G18" s="849">
        <f>SUBTOTAL(9,G14:G17)</f>
        <v>513</v>
      </c>
      <c r="H18" s="850">
        <f>IF(ISNUMBER(G18/B18),G18/B18," - ")</f>
        <v>256.5</v>
      </c>
      <c r="I18" s="849">
        <f>SUBTOTAL(9,I14:I17)</f>
        <v>1518</v>
      </c>
      <c r="J18" s="850">
        <f>IF(ISNUMBER(I18/B18),I18/B18," - ")</f>
        <v>759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3312</v>
      </c>
      <c r="D19" s="795" t="str">
        <f>IF(ISNUMBER(C19/Datos!BI19),C19/Datos!BI19," - ")</f>
        <v xml:space="preserve"> - </v>
      </c>
      <c r="E19" s="794">
        <f>SUBTOTAL(9,E9:E18)</f>
        <v>1436</v>
      </c>
      <c r="F19" s="795">
        <f>IF(ISNUMBER(E19/B19),E19/B19," - ")</f>
        <v>718</v>
      </c>
      <c r="G19" s="794">
        <f>SUBTOTAL(9,G9:G18)</f>
        <v>1221</v>
      </c>
      <c r="H19" s="795">
        <f>IF(ISNUMBER(G19/B19),G19/B19," - ")</f>
        <v>610.5</v>
      </c>
      <c r="I19" s="794">
        <f>SUBTOTAL(9,I9:I18)</f>
        <v>3527</v>
      </c>
      <c r="J19" s="795">
        <f>IF(ISNUMBER(I19/B19),I19/B19," - ")</f>
        <v>1763.5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LRXMNN9HUnC/1QFxB/3DkCDac8TI+Y5s1VDPk6jA5ND17ClYz/Yr+DxVQgAe8QDkJIzTJ5yJBCOWkXHjGZCv7Q==" saltValue="JOrNz0riaDIxKmL2gUHCP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CERVERA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N2907wJQEZGI8GCpJx8hxs6JoxYSjuqGeY4vQZloFlVAxXHFyaZJX9qnL9gAUAyCcdfMgLVf83Or9zyI6XsXzA==" saltValue="vazSeVjeTZO6T6l3VZhc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CERVERA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221</v>
      </c>
      <c r="E12" s="404">
        <f t="shared" si="0"/>
        <v>110.5</v>
      </c>
      <c r="F12" s="403">
        <f>IF(ISNUMBER(Datos!N12),Datos!N12," - ")</f>
        <v>216</v>
      </c>
      <c r="G12" s="404">
        <f t="shared" si="1"/>
        <v>108</v>
      </c>
      <c r="H12" s="403">
        <f>IF(ISNUMBER(Datos!O12),Datos!O12," - ")</f>
        <v>366</v>
      </c>
      <c r="I12" s="404">
        <f t="shared" si="2"/>
        <v>183</v>
      </c>
      <c r="BZ12" s="1186">
        <f>Datos!EZ12</f>
        <v>0</v>
      </c>
    </row>
    <row r="13" spans="1:78" ht="14.25" thickTop="1" thickBot="1">
      <c r="A13" s="848" t="str">
        <f>Datos!A13</f>
        <v>TOTAL</v>
      </c>
      <c r="B13" s="849">
        <f>Datos!AP13</f>
        <v>2</v>
      </c>
      <c r="C13" s="851">
        <f>Datos!AR13</f>
        <v>2</v>
      </c>
      <c r="D13" s="849">
        <f>SUBTOTAL(9,D9:D12)</f>
        <v>221</v>
      </c>
      <c r="E13" s="850">
        <f t="shared" si="0"/>
        <v>110.5</v>
      </c>
      <c r="F13" s="849">
        <f>SUBTOTAL(9,F9:F12)</f>
        <v>216</v>
      </c>
      <c r="G13" s="850">
        <f t="shared" si="1"/>
        <v>108</v>
      </c>
      <c r="H13" s="849">
        <f>SUBTOTAL(9,H9:H12)</f>
        <v>366</v>
      </c>
      <c r="I13" s="850">
        <f>IF(ISNUMBER(H13/B13),H13/B13," - ")</f>
        <v>183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103</v>
      </c>
      <c r="E16" s="404">
        <f t="shared" si="3"/>
        <v>51.5</v>
      </c>
      <c r="F16" s="403">
        <f>IF(ISNUMBER(Datos!N16),Datos!N16," - ")</f>
        <v>218</v>
      </c>
      <c r="G16" s="404">
        <f t="shared" si="4"/>
        <v>109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19</v>
      </c>
      <c r="E17" s="404">
        <f>IF(ISNUMBER(D17/B17),D17/B17," - ")</f>
        <v>19</v>
      </c>
      <c r="F17" s="403">
        <f>IF(ISNUMBER(Datos!N17),Datos!N17," - ")</f>
        <v>44</v>
      </c>
      <c r="G17" s="404">
        <f>IF(ISNUMBER(F17/B17),F17/B17," - ")</f>
        <v>44</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122</v>
      </c>
      <c r="E18" s="850">
        <f t="shared" si="3"/>
        <v>61</v>
      </c>
      <c r="F18" s="849">
        <f>SUBTOTAL(9,F15:F17)</f>
        <v>262</v>
      </c>
      <c r="G18" s="850">
        <f t="shared" si="4"/>
        <v>131</v>
      </c>
      <c r="H18" s="849">
        <f>SUBTOTAL(9,H15:H17)</f>
        <v>2</v>
      </c>
      <c r="I18" s="850">
        <f>IF(ISNUMBER(H18/B18),H18/B18," - ")</f>
        <v>1</v>
      </c>
      <c r="BZ18" s="1186"/>
    </row>
    <row r="19" spans="1:78" ht="14.25" thickTop="1" thickBot="1">
      <c r="A19" s="793" t="str">
        <f>Datos!A19</f>
        <v>TOTAL JURISDICCIONES</v>
      </c>
      <c r="B19" s="794">
        <f>Datos!AP19</f>
        <v>2</v>
      </c>
      <c r="C19" s="794">
        <f>Datos!AR19</f>
        <v>2</v>
      </c>
      <c r="D19" s="794">
        <f>SUBTOTAL(9,D8:D18)</f>
        <v>343</v>
      </c>
      <c r="E19" s="795">
        <f>IF(ISNUMBER(D19/B19),D19/B19," - ")</f>
        <v>171.5</v>
      </c>
      <c r="F19" s="794">
        <f>SUBTOTAL(9,F8:F18)</f>
        <v>478</v>
      </c>
      <c r="G19" s="795">
        <f>IF(ISNUMBER(F19/B19),F19/B19," - ")</f>
        <v>239</v>
      </c>
      <c r="H19" s="794">
        <f>SUBTOTAL(9,H8:H18)</f>
        <v>368</v>
      </c>
      <c r="I19" s="795">
        <f>IF(ISNUMBER(H19/B19),H19/B19," - ")</f>
        <v>184</v>
      </c>
    </row>
    <row r="22" spans="1:78">
      <c r="A22" s="391" t="str">
        <f>Criterios!A4</f>
        <v>Fecha Informe: 24 sep. 2024</v>
      </c>
    </row>
    <row r="27" spans="1:78">
      <c r="A27" s="414"/>
    </row>
  </sheetData>
  <sheetProtection algorithmName="SHA-512" hashValue="Mj0aV2s8FopNDlhtRjOcuTCR2EeH/u7XltH4cp5cx4P9usfslJ6iCy9l71SXJU6Kkm6eEo+3NQ/+p8Ny8kPL/A==" saltValue="aLRFpt+aA2SiZkm0VDj0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CERVERA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179</v>
      </c>
      <c r="C12" s="434">
        <f>IF(ISNUMBER(Datos!Q12),Datos!Q12," - ")</f>
        <v>253</v>
      </c>
      <c r="D12" s="408">
        <f>IF(ISNUMBER(Datos!R12),Datos!R12," - ")</f>
        <v>2142</v>
      </c>
    </row>
    <row r="13" spans="1:4" ht="14.25" thickTop="1" thickBot="1">
      <c r="A13" s="848" t="str">
        <f>Datos!A13</f>
        <v>TOTAL</v>
      </c>
      <c r="B13" s="849">
        <f>SUBTOTAL(9,B9:B12)</f>
        <v>181</v>
      </c>
      <c r="C13" s="853">
        <f>SUBTOTAL(9,C9:C12)</f>
        <v>253</v>
      </c>
      <c r="D13" s="851">
        <f>SUBTOTAL(9,D9:D12)</f>
        <v>2151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0</v>
      </c>
      <c r="D16" s="408">
        <f>IF(ISNUMBER(Datos!R16),Datos!R16," - ")</f>
        <v>71</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13</v>
      </c>
      <c r="C18" s="853">
        <f>SUBTOTAL(9,C15:C17)</f>
        <v>0</v>
      </c>
      <c r="D18" s="851">
        <f>SUBTOTAL(9,D15:D17)</f>
        <v>81</v>
      </c>
    </row>
    <row r="19" spans="1:4" ht="16.5" customHeight="1" thickTop="1" thickBot="1">
      <c r="A19" s="793" t="str">
        <f>Datos!A19</f>
        <v>TOTAL JURISDICCIONES</v>
      </c>
      <c r="B19" s="798">
        <f>SUBTOTAL(9,B8:B18)</f>
        <v>194</v>
      </c>
      <c r="C19" s="799">
        <f>SUBTOTAL(9,C8:C18)</f>
        <v>253</v>
      </c>
      <c r="D19" s="800">
        <f>SUBTOTAL(9,D8:D18)</f>
        <v>2232</v>
      </c>
    </row>
    <row r="20" spans="1:4" ht="7.5" customHeight="1"/>
    <row r="21" spans="1:4" ht="6" customHeight="1"/>
    <row r="22" spans="1:4">
      <c r="A22" s="391" t="str">
        <f>Criterios!A4</f>
        <v>Fecha Informe: 24 sep. 2024</v>
      </c>
    </row>
    <row r="27" spans="1:4">
      <c r="A27" s="414"/>
    </row>
  </sheetData>
  <sheetProtection algorithmName="SHA-512" hashValue="2RJT0BVFU3rQPBlDz0v3xSu9ZnakMDSHEju7hyJ37Eaa3Ekrx9SrVaF5VejVFrhxK1eaWxcESpxhfIi62ly6ow==" saltValue="iSCnVbDz+lXxBNYSv4Tt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CERVERA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0.28000000000000003</v>
      </c>
      <c r="C10" s="456">
        <f>IF(ISNUMBER((Datos!J10-Datos!T10)/Datos!T10),(Datos!J10-Datos!T10)/Datos!T10," - ")</f>
        <v>-0.66666666666666663</v>
      </c>
      <c r="D10" s="456">
        <f>IF(ISNUMBER((Datos!K10-Datos!U10)/Datos!U10),(Datos!K10-Datos!U10)/Datos!U10," - ")</f>
        <v>-1</v>
      </c>
      <c r="E10" s="456">
        <f>IF(ISNUMBER((Datos!L10-Datos!V10)/Datos!V10),(Datos!L10-Datos!V10)/Datos!V10," - ")</f>
        <v>0.61904761904761907</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0.26196808510638298</v>
      </c>
      <c r="C12" s="456">
        <f>IF(ISNUMBER(
   IF(J_V="SI",(Datos!J12-Datos!T12)/Datos!T12,(Datos!J12+Datos!Z12-(Datos!T12+Datos!AH12))/(Datos!T12+Datos!AH12))
     ),IF(J_V="SI",(Datos!J12-Datos!T12)/Datos!T12,(Datos!J12+Datos!Z12-(Datos!T12+Datos!AH12))/(Datos!T12+Datos!AH12))," - ")</f>
        <v>0.26205787781350481</v>
      </c>
      <c r="D12" s="456">
        <f>IF(ISNUMBER(
   IF(J_V="SI",(Datos!K12-Datos!U12)/Datos!U12,(Datos!K12+Datos!AA12-(Datos!U12+Datos!AI12))/(Datos!U12+Datos!AI12))
     ),IF(J_V="SI",(Datos!K12-Datos!U12)/Datos!U12,(Datos!K12+Datos!AA12-(Datos!U12+Datos!AI12))/(Datos!U12+Datos!AI12))," - ")</f>
        <v>0.14009661835748793</v>
      </c>
      <c r="E12" s="456">
        <f>IF(ISNUMBER(
   IF(J_V="SI",(Datos!L12-Datos!V12)/Datos!V12,(Datos!L12+Datos!AB12-(Datos!V12+Datos!AJ12))/(Datos!V12+Datos!AJ12))
     ),IF(J_V="SI",(Datos!L12-Datos!V12)/Datos!V12,(Datos!L12+Datos!AB12-(Datos!V12+Datos!AJ12))/(Datos!V12+Datos!AJ12))," - ")</f>
        <v>0.2908496732026144</v>
      </c>
      <c r="F12" s="456">
        <f>IF(ISNUMBER((Datos!M12-Datos!W12)/Datos!W12),(Datos!M12-Datos!W12)/Datos!W12," - ")</f>
        <v>0.68702290076335881</v>
      </c>
      <c r="G12" s="457">
        <f>IF(ISNUMBER((Datos!N12-Datos!X12)/Datos!X12),(Datos!N12-Datos!X12)/Datos!X12," - ")</f>
        <v>0.54285714285714282</v>
      </c>
      <c r="H12" s="455">
        <f>IF(ISNUMBER(((NºAsuntos!G12/NºAsuntos!E12)-Datos!BD12)/Datos!BD12),((NºAsuntos!G12/NºAsuntos!E12)-Datos!BD12)/Datos!BD12," - ")</f>
        <v>-9.6636819594449058E-2</v>
      </c>
      <c r="I12" s="456">
        <f>IF(ISNUMBER(((NºAsuntos!I12/NºAsuntos!G12)-Datos!BE12)/Datos!BE12),((NºAsuntos!I12/NºAsuntos!G12)-Datos!BE12)/Datos!BE12," - ")</f>
        <v>0.13222831505483565</v>
      </c>
      <c r="J12" s="461">
        <f>IF(ISNUMBER((('Resol  Asuntos'!D12/NºAsuntos!G12)-Datos!BF12)/Datos!BF12),(('Resol  Asuntos'!D12/NºAsuntos!G12)-Datos!BF12)/Datos!BF12," - ")</f>
        <v>0.38459443099273599</v>
      </c>
      <c r="K12" s="462">
        <f>IF(ISNUMBER((((NºAsuntos!C12+NºAsuntos!E12)/NºAsuntos!G12)-Datos!BG12)/Datos!BG12),(((NºAsuntos!C12+NºAsuntos!E12)/NºAsuntos!G12)-Datos!BG12)/Datos!BG12," - ")</f>
        <v>0.10691877800277438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0.26226291693917592</v>
      </c>
      <c r="C13" s="855">
        <f>IF(ISNUMBER(
   IF(J_V="SI",(Datos!J13-Datos!T13)/Datos!T13,(Datos!J13+Datos!Z13-(Datos!T13+Datos!AH13))/(Datos!T13+Datos!AH13))
     ),IF(J_V="SI",(Datos!J13-Datos!T13)/Datos!T13,(Datos!J13+Datos!Z13-(Datos!T13+Datos!AH13))/(Datos!T13+Datos!AH13))," - ")</f>
        <v>0.25318471337579618</v>
      </c>
      <c r="D13" s="855">
        <f>IF(ISNUMBER(
   IF(J_V="SI",(Datos!K13-Datos!U13)/Datos!U13,(Datos!K13+Datos!AA13-(Datos!U13+Datos!AI13))/(Datos!U13+Datos!AI13))
     ),IF(J_V="SI",(Datos!K13-Datos!U13)/Datos!U13,(Datos!K13+Datos!AA13-(Datos!U13+Datos!AI13))/(Datos!U13+Datos!AI13))," - ")</f>
        <v>0.12202852614896989</v>
      </c>
      <c r="E13" s="855">
        <f>IF(ISNUMBER(
   IF(J_V="SI",(Datos!L13-Datos!V13)/Datos!V13,(Datos!L13+Datos!AB13-(Datos!V13+Datos!AJ13))/(Datos!V13+Datos!AJ13))
     ),IF(J_V="SI",(Datos!L13-Datos!V13)/Datos!V13,(Datos!L13+Datos!AB13-(Datos!V13+Datos!AJ13))/(Datos!V13+Datos!AJ13))," - ")</f>
        <v>0.29529335912314636</v>
      </c>
      <c r="F13" s="856">
        <f>IF(ISNUMBER((Datos!M13-Datos!W13)/Datos!W13),(Datos!M13-Datos!W13)/Datos!W13," - ")</f>
        <v>0.60144927536231885</v>
      </c>
      <c r="G13" s="857">
        <f>IF(ISNUMBER((Datos!N13-Datos!X13)/Datos!X13),(Datos!N13-Datos!X13)/Datos!X13," - ")</f>
        <v>0.52112676056338025</v>
      </c>
      <c r="H13" s="857">
        <f>IF(ISNUMBER(((NºAsuntos!G13/NºAsuntos!E13)-Datos!BD13)/Datos!BD13),((NºAsuntos!G13/NºAsuntos!E13)-Datos!BD13)/Datos!BD13," - ")</f>
        <v>-0.10465830441988161</v>
      </c>
      <c r="I13" s="857">
        <f>IF(ISNUMBER(((NºAsuntos!I13/NºAsuntos!G13)-Datos!BE13)/Datos!BE13),((NºAsuntos!I13/NºAsuntos!G13)-Datos!BE13)/Datos!BE13," - ")</f>
        <v>0.154421058766533</v>
      </c>
      <c r="J13" s="857">
        <f>IF(ISNUMBER((('Resol  Asuntos'!D13/NºAsuntos!G13)-Datos!BF13)/Datos!BF13),(('Resol  Asuntos'!D13/NºAsuntos!G13)-Datos!BF13)/Datos!BF13," - ")</f>
        <v>0.33989584534378708</v>
      </c>
      <c r="K13" s="857">
        <f>IF(ISNUMBER((((NºAsuntos!C13+NºAsuntos!E13)/NºAsuntos!G13)-Datos!BG13)/Datos!BG13),(((NºAsuntos!C13+NºAsuntos!E13)/NºAsuntos!G13)-Datos!BG13)/Datos!BG13," - ")</f>
        <v>0.12262728889517503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0.35978835978835977</v>
      </c>
      <c r="C16" s="456">
        <f>IF(ISNUMBER(
   IF(D_I="SI",(Datos!J16-Datos!T16)/Datos!T16,(Datos!J16+Datos!AD16-(Datos!T16+Datos!AL16))/(Datos!T16+Datos!AL16))
     ),IF(D_I="SI",(Datos!J16-Datos!T16)/Datos!T16,(Datos!J16+Datos!AD16-(Datos!T16+Datos!AL16))/(Datos!T16+Datos!AL16))," - ")</f>
        <v>5.9782608695652176E-2</v>
      </c>
      <c r="D16" s="456">
        <f>IF(ISNUMBER(
   IF(D_I="SI",(Datos!K16-Datos!U16)/Datos!U16,(Datos!K16+Datos!AE16-(Datos!U16+Datos!AM16))/(Datos!U16+Datos!AM16))
     ),IF(D_I="SI",(Datos!K16-Datos!U16)/Datos!U16,(Datos!K16+Datos!AE16-(Datos!U16+Datos!AM16))/(Datos!U16+Datos!AM16))," - ")</f>
        <v>0.12368421052631579</v>
      </c>
      <c r="E16" s="456">
        <f>IF(ISNUMBER(
   IF(D_I="SI",(Datos!L16-Datos!V16)/Datos!V16,(Datos!L16+Datos!AF16-(Datos!V16+Datos!AN16))/(Datos!V16+Datos!AN16))
     ),IF(D_I="SI",(Datos!L16-Datos!V16)/Datos!V16,(Datos!L16+Datos!AF16-(Datos!V16+Datos!AN16))/(Datos!V16+Datos!AN16))," - ")</f>
        <v>1.6380255941499087</v>
      </c>
      <c r="F16" s="456">
        <f>IF(ISNUMBER((Datos!M16-Datos!W16)/Datos!W16),(Datos!M16-Datos!W16)/Datos!W16," - ")</f>
        <v>-0.10434782608695652</v>
      </c>
      <c r="G16" s="457">
        <f>IF(ISNUMBER((Datos!N16-Datos!X16)/Datos!X16),(Datos!N16-Datos!X16)/Datos!X16," - ")</f>
        <v>0.14736842105263157</v>
      </c>
      <c r="H16" s="455">
        <f>IF(ISNUMBER(((NºAsuntos!G16/NºAsuntos!E16)-Datos!BD16)/Datos!BD16),((NºAsuntos!G16/NºAsuntos!E16)-Datos!BD16)/Datos!BD16," - ")</f>
        <v>6.0296896086369789E-2</v>
      </c>
      <c r="I16" s="456">
        <f>IF(ISNUMBER(((NºAsuntos!I16/NºAsuntos!G16)-Datos!BE16)/Datos!BE16),((NºAsuntos!I16/NºAsuntos!G16)-Datos!BE16)/Datos!BE16," - ")</f>
        <v>1.3476574374167807</v>
      </c>
      <c r="J16" s="461">
        <f>IF(ISNUMBER((('Resol  Asuntos'!D16/NºAsuntos!G16)-Datos!BF16)/Datos!BF16),(('Resol  Asuntos'!D16/NºAsuntos!G16)-Datos!BF16)/Datos!BF16," - ")</f>
        <v>-0.20293249159963347</v>
      </c>
      <c r="K16" s="462">
        <f>IF(ISNUMBER((((NºAsuntos!C16+NºAsuntos!E16)/NºAsuntos!G16)-Datos!BG16)/Datos!BG16),(((NºAsuntos!C16+NºAsuntos!E16)/NºAsuntos!G16)-Datos!BG16)/Datos!BG16," - ")</f>
        <v>0.11166908367867659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2.129032258064516</v>
      </c>
      <c r="C17" s="456">
        <f>IF(ISNUMBER(
   IF(D_I="SI",(Datos!J17-Datos!T17)/Datos!T17,(Datos!J17+Datos!AD17-(Datos!T17+Datos!AL17))/(Datos!T17+Datos!AL17))
     ),IF(D_I="SI",(Datos!J17-Datos!T17)/Datos!T17,(Datos!J17+Datos!AD17-(Datos!T17+Datos!AL17))/(Datos!T17+Datos!AL17))," - ")</f>
        <v>1.5873015873015872E-2</v>
      </c>
      <c r="D17" s="456">
        <f>IF(ISNUMBER(
   IF(D_I="SI",(Datos!K17-Datos!U17)/Datos!U17,(Datos!K17+Datos!AE17-(Datos!U17+Datos!AM17))/(Datos!U17+Datos!AM17))
     ),IF(D_I="SI",(Datos!K17-Datos!U17)/Datos!U17,(Datos!K17+Datos!AE17-(Datos!U17+Datos!AM17))/(Datos!U17+Datos!AM17))," - ")</f>
        <v>0.86956521739130432</v>
      </c>
      <c r="E17" s="456">
        <f>IF(ISNUMBER(
   IF(D_I="SI",(Datos!L17-Datos!V17)/Datos!V17,(Datos!L17+Datos!AF17-(Datos!V17+Datos!AN17))/(Datos!V17+Datos!AN17))
     ),IF(D_I="SI",(Datos!L17-Datos!V17)/Datos!V17,(Datos!L17+Datos!AF17-(Datos!V17+Datos!AN17))/(Datos!V17+Datos!AN17))," - ")</f>
        <v>0.5625</v>
      </c>
      <c r="F17" s="456">
        <f>IF(ISNUMBER((Datos!M17-Datos!W17)/Datos!W17),(Datos!M17-Datos!W17)/Datos!W17," - ")</f>
        <v>0.72727272727272729</v>
      </c>
      <c r="G17" s="457">
        <f>IF(ISNUMBER((Datos!N17-Datos!X17)/Datos!X17),(Datos!N17-Datos!X17)/Datos!X17," - ")</f>
        <v>0.46666666666666667</v>
      </c>
      <c r="H17" s="455">
        <f>IF(ISNUMBER(((NºAsuntos!G17/NºAsuntos!E17)-Datos!BD17)/Datos!BD17),((NºAsuntos!G17/NºAsuntos!E17)-Datos!BD17)/Datos!BD17," - ")</f>
        <v>0.8403532608695653</v>
      </c>
      <c r="I17" s="456">
        <f>IF(ISNUMBER(((NºAsuntos!I17/NºAsuntos!G17)-Datos!BE17)/Datos!BE17),((NºAsuntos!I17/NºAsuntos!G17)-Datos!BE17)/Datos!BE17," - ")</f>
        <v>-0.16424418604651161</v>
      </c>
      <c r="J17" s="461">
        <f>IF(ISNUMBER((('Resol  Asuntos'!D17/NºAsuntos!G17)-Datos!BF17)/Datos!BF17),(('Resol  Asuntos'!D17/NºAsuntos!G17)-Datos!BF17)/Datos!BF17," - ")</f>
        <v>-7.6109936575052869E-2</v>
      </c>
      <c r="K17" s="462">
        <f>IF(ISNUMBER((((NºAsuntos!C17+NºAsuntos!E17)/NºAsuntos!G17)-Datos!BG17)/Datos!BG17),(((NºAsuntos!C17+NºAsuntos!E17)/NºAsuntos!G17)-Datos!BG17)/Datos!BG17," - ")</f>
        <v>-8.3869371598218792E-2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0.41598360655737704</v>
      </c>
      <c r="C18" s="855">
        <f>IF(ISNUMBER(
   IF(Criterios!B14="SI",(Datos!J18-Datos!T18)/Datos!T18,(Datos!J18+Datos!AD18-(Datos!T18+Datos!AL18))/(Datos!T18+Datos!AL18))
     ),IF(Criterios!B14="SI",(Datos!J18-Datos!T18)/Datos!T18,(Datos!J18+Datos!AD18-(Datos!T18+Datos!AL18))/(Datos!T18+Datos!AL18))," - ")</f>
        <v>5.5284552845528454E-2</v>
      </c>
      <c r="D18" s="855">
        <f>IF(ISNUMBER(
   IF(Criterios!B14="SI",(Datos!K18-Datos!U18)/Datos!U18,(Datos!K18+Datos!AE18-(Datos!U18+Datos!AM18))/(Datos!U18+Datos!AM18))
     ),IF(Criterios!B14="SI",(Datos!K18-Datos!U18)/Datos!U18,(Datos!K18+Datos!AE18-(Datos!U18+Datos!AM18))/(Datos!U18+Datos!AM18))," - ")</f>
        <v>0.20422535211267606</v>
      </c>
      <c r="E18" s="855">
        <f>IF(ISNUMBER(
   IF(Criterios!B14="SI",(Datos!L18-Datos!V18)/Datos!V18,(Datos!L18+Datos!AF18-(Datos!V18+Datos!AN18))/(Datos!V18+Datos!AN18))
     ),IF(Criterios!B14="SI",(Datos!L18-Datos!V18)/Datos!V18,(Datos!L18+Datos!AF18-(Datos!V18+Datos!AN18))/(Datos!V18+Datos!AN18))," - ")</f>
        <v>1.5512605042016807</v>
      </c>
      <c r="F18" s="856">
        <f>IF(ISNUMBER((Datos!M18-Datos!W18)/Datos!W18),(Datos!M18-Datos!W18)/Datos!W18," - ")</f>
        <v>-3.1746031746031744E-2</v>
      </c>
      <c r="G18" s="857">
        <f>IF(ISNUMBER((Datos!N18-Datos!X18)/Datos!X18),(Datos!N18-Datos!X18)/Datos!X18," - ")</f>
        <v>0.19090909090909092</v>
      </c>
      <c r="H18" s="857">
        <f>IF(ISNUMBER(((NºAsuntos!G18/NºAsuntos!E18)-Datos!BD18)/Datos!BD18),((NºAsuntos!G18/NºAsuntos!E18)-Datos!BD18)/Datos!BD18," - ")</f>
        <v>0.14113804553050199</v>
      </c>
      <c r="I18" s="857">
        <f>IF(ISNUMBER(((NºAsuntos!I18/NºAsuntos!G18)-Datos!BE18)/Datos!BE18),((NºAsuntos!I18/NºAsuntos!G18)-Datos!BE18)/Datos!BE18," - ")</f>
        <v>1.1185905941323899</v>
      </c>
      <c r="J18" s="857">
        <f>IF(ISNUMBER((('Resol  Asuntos'!D18/NºAsuntos!G18)-Datos!BF18)/Datos!BF18),(('Resol  Asuntos'!D18/NºAsuntos!G18)-Datos!BF18)/Datos!BF18," - ")</f>
        <v>-0.19595284507565211</v>
      </c>
      <c r="K18" s="857">
        <f>IF(ISNUMBER((((NºAsuntos!C18+NºAsuntos!E18)/NºAsuntos!G18)-Datos!BG18)/Datos!BG18),(((NºAsuntos!C18+NºAsuntos!E18)/NºAsuntos!G18)-Datos!BG18)/Datos!BG18," - ")</f>
        <v>6.0063735706330661E-2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0.32215568862275451</v>
      </c>
      <c r="C19" s="802">
        <f>IF(ISNUMBER(
   IF(J_V="SI",(Datos!J19-Datos!T19)/Datos!T19,(Datos!J19+Datos!Z19-(Datos!T19+Datos!AH19))/(Datos!T19+Datos!AH19))
     ),IF(J_V="SI",(Datos!J19-Datos!T19)/Datos!T19,(Datos!J19+Datos!Z19-(Datos!T19+Datos!AH19))/(Datos!T19+Datos!AH19))," - ")</f>
        <v>0.15526950925181013</v>
      </c>
      <c r="D19" s="802">
        <f>IF(ISNUMBER(
   IF(J_V="SI",(Datos!K19-Datos!U19)/Datos!U19,(Datos!K19+Datos!AA19-(Datos!U19+Datos!AI19))/(Datos!U19+Datos!AI19))
     ),IF(J_V="SI",(Datos!K19-Datos!U19)/Datos!U19,(Datos!K19+Datos!AA19-(Datos!U19+Datos!AI19))/(Datos!U19+Datos!AI19))," - ")</f>
        <v>0.15515610217596973</v>
      </c>
      <c r="E19" s="802">
        <f>IF(ISNUMBER(
   IF(J_V="SI",(Datos!L19-Datos!V19)/Datos!V19,(Datos!L19+Datos!AB19-(Datos!V19+Datos!AJ19))/(Datos!V19+Datos!AJ19))
     ),IF(J_V="SI",(Datos!L19-Datos!V19)/Datos!V19,(Datos!L19+Datos!AB19-(Datos!V19+Datos!AJ19))/(Datos!V19+Datos!AJ19))," - ")</f>
        <v>0.64352283317800563</v>
      </c>
      <c r="F19" s="803">
        <f>IF(ISNUMBER((Datos!M19-Datos!W19)/Datos!W19),(Datos!M19-Datos!W19)/Datos!W19," - ")</f>
        <v>0.29924242424242425</v>
      </c>
      <c r="G19" s="804">
        <f>IF(ISNUMBER((Datos!N19-Datos!X19)/Datos!X19),(Datos!N19-Datos!X19)/Datos!X19," - ")</f>
        <v>0.32044198895027626</v>
      </c>
      <c r="H19" s="805">
        <f>IF(ISNUMBER((Tasas!B19-Datos!BD19)/Datos!BD19),(Tasas!B19-Datos!BD19)/Datos!BD19," - ")</f>
        <v>-9.8165038488541326E-5</v>
      </c>
      <c r="I19" s="806">
        <f>IF(ISNUMBER((Tasas!C19-Datos!BE19)/Datos!BE19),(Tasas!C19-Datos!BE19)/Datos!BE19," - ")</f>
        <v>0.42277119956523496</v>
      </c>
      <c r="J19" s="807">
        <f>IF(ISNUMBER((Tasas!D19-Datos!BF19)/Datos!BF19),(Tasas!D19-Datos!BF19)/Datos!BF19," - ")</f>
        <v>8.7654087654087678E-2</v>
      </c>
      <c r="K19" s="807">
        <f>IF(ISNUMBER((Tasas!E19-Datos!BG19)/Datos!BG19),(Tasas!E19-Datos!BG19)/Datos!BG19," - ")</f>
        <v>9.6656081714779671E-2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AGk8MOXWUGTS3ZXdH/3mxIC3lcc4v5Ueq5gGfoS9wMbbTckkyLICSO3+XG7t2Zu6NV3mjLnm4gNXVYL9mreHeQ==" saltValue="t+FXUtNjQy5xOXqlp+YxA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CERVERA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0.90191082802547773</v>
      </c>
      <c r="C12" s="443">
        <f>IF(ISNUMBER(NºAsuntos!I12/NºAsuntos!G12),NºAsuntos!I12/NºAsuntos!G12," - ")</f>
        <v>2.7895480225988702</v>
      </c>
      <c r="D12" s="444">
        <f>IF(ISNUMBER('Resol  Asuntos'!D12/NºAsuntos!G12),'Resol  Asuntos'!D12/NºAsuntos!G12," - ")</f>
        <v>0.31214689265536721</v>
      </c>
      <c r="E12" s="445">
        <f>IF(ISNUMBER((NºAsuntos!C12+NºAsuntos!E12)/NºAsuntos!G12),(NºAsuntos!C12+NºAsuntos!E12)/NºAsuntos!G12," - ")</f>
        <v>3.7895480225988702</v>
      </c>
      <c r="G12" s="463"/>
    </row>
    <row r="13" spans="1:7" ht="14.25" thickTop="1" thickBot="1">
      <c r="A13" s="848" t="str">
        <f>Datos!A13</f>
        <v>TOTAL</v>
      </c>
      <c r="B13" s="858">
        <f>IF(ISNUMBER(NºAsuntos!G13/NºAsuntos!E13),NºAsuntos!G13/NºAsuntos!E13," - ")</f>
        <v>0.89961880559085139</v>
      </c>
      <c r="C13" s="859">
        <f>IF(ISNUMBER(NºAsuntos!I13/NºAsuntos!G13),NºAsuntos!I13/NºAsuntos!G13," - ")</f>
        <v>2.8375706214689265</v>
      </c>
      <c r="D13" s="860">
        <f>IF(ISNUMBER('Resol  Asuntos'!D13/NºAsuntos!G13),'Resol  Asuntos'!D13/NºAsuntos!G13," - ")</f>
        <v>0.31214689265536721</v>
      </c>
      <c r="E13" s="861">
        <f>IF(ISNUMBER((NºAsuntos!C13+NºAsuntos!E13)/NºAsuntos!G13),(NºAsuntos!C13+NºAsuntos!E13)/NºAsuntos!G13," - ")</f>
        <v>3.8375706214689265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0.72991452991452987</v>
      </c>
      <c r="C16" s="443">
        <f>IF(ISNUMBER(NºAsuntos!I16/NºAsuntos!G16),NºAsuntos!I16/NºAsuntos!G16," - ")</f>
        <v>3.3793911007025761</v>
      </c>
      <c r="D16" s="444">
        <f>IF(ISNUMBER('Resol  Asuntos'!D16/NºAsuntos!G16),'Resol  Asuntos'!D16/NºAsuntos!G16," - ")</f>
        <v>0.24121779859484777</v>
      </c>
      <c r="E16" s="445">
        <f>IF(ISNUMBER((NºAsuntos!C16+NºAsuntos!E16)/NºAsuntos!G16),(NºAsuntos!C16+NºAsuntos!E16)/NºAsuntos!G16," - ")</f>
        <v>4.3793911007025761</v>
      </c>
      <c r="G16" s="463"/>
    </row>
    <row r="17" spans="1:7" ht="13.5" thickBot="1">
      <c r="A17" s="402" t="str">
        <f>Datos!A17</f>
        <v>Jdos. Violencia contra la mujer</v>
      </c>
      <c r="B17" s="442">
        <f>IF(ISNUMBER(NºAsuntos!G17/NºAsuntos!E17),NºAsuntos!G17/NºAsuntos!E17," - ")</f>
        <v>1.34375</v>
      </c>
      <c r="C17" s="443">
        <f>IF(ISNUMBER(NºAsuntos!I17/NºAsuntos!G17),NºAsuntos!I17/NºAsuntos!G17," - ")</f>
        <v>0.87209302325581395</v>
      </c>
      <c r="D17" s="444">
        <f>IF(ISNUMBER('Resol  Asuntos'!D17/NºAsuntos!G17),'Resol  Asuntos'!D17/NºAsuntos!G17," - ")</f>
        <v>0.22093023255813954</v>
      </c>
      <c r="E17" s="445">
        <f>IF(ISNUMBER((NºAsuntos!C17+NºAsuntos!E17)/NºAsuntos!G17),(NºAsuntos!C17+NºAsuntos!E17)/NºAsuntos!G17," - ")</f>
        <v>1.8720930232558139</v>
      </c>
      <c r="G17" s="463"/>
    </row>
    <row r="18" spans="1:7" ht="14.25" thickTop="1" thickBot="1">
      <c r="A18" s="848" t="str">
        <f>Datos!A18</f>
        <v>TOTAL</v>
      </c>
      <c r="B18" s="858">
        <f>IF(ISNUMBER(NºAsuntos!G18/NºAsuntos!E18),NºAsuntos!G18/NºAsuntos!E18," - ")</f>
        <v>0.79044684129429887</v>
      </c>
      <c r="C18" s="859">
        <f>IF(ISNUMBER(NºAsuntos!I18/NºAsuntos!G18),NºAsuntos!I18/NºAsuntos!G18," - ")</f>
        <v>2.9590643274853803</v>
      </c>
      <c r="D18" s="862">
        <f>IF(ISNUMBER('Resol  Asuntos'!D18/NºAsuntos!G18),'Resol  Asuntos'!D18/NºAsuntos!G18," - ")</f>
        <v>0.23781676413255359</v>
      </c>
      <c r="E18" s="861">
        <f>IF(ISNUMBER((NºAsuntos!C18+NºAsuntos!E18)/NºAsuntos!G18),(NºAsuntos!C18+NºAsuntos!E18)/NºAsuntos!G18," - ")</f>
        <v>3.9590643274853803</v>
      </c>
      <c r="G18" s="463"/>
    </row>
    <row r="19" spans="1:7" ht="15.75" customHeight="1" thickTop="1" thickBot="1">
      <c r="A19" s="793" t="str">
        <f>Datos!A19</f>
        <v>TOTAL JURISDICCIONES</v>
      </c>
      <c r="B19" s="808">
        <f>IF(ISNUMBER(NºAsuntos!G19/NºAsuntos!E19),NºAsuntos!G19/NºAsuntos!E19," - ")</f>
        <v>0.85027855153203347</v>
      </c>
      <c r="C19" s="809">
        <f>IF(ISNUMBER(NºAsuntos!I19/NºAsuntos!G19),NºAsuntos!I19/NºAsuntos!G19," - ")</f>
        <v>2.8886158886158886</v>
      </c>
      <c r="D19" s="810">
        <f>IF(ISNUMBER('Resol  Asuntos'!D19/NºAsuntos!G19),'Resol  Asuntos'!D19/NºAsuntos!G19," - ")</f>
        <v>0.28091728091728091</v>
      </c>
      <c r="E19" s="811">
        <f>IF(ISNUMBER((NºAsuntos!C19+NºAsuntos!E19)/NºAsuntos!G19),(NºAsuntos!C19+NºAsuntos!E19)/NºAsuntos!G19," - ")</f>
        <v>3.8886158886158886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KfXx0kdkwylAFLHL6gkZxO4ajw9rcRTifMfOg9Bp7K96kdoiM97KPE3FK6qh8Q4Rs2gw0OPQltyfXdTTVNAvg==" saltValue="56je1BrKqYmkxUEh5z3u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CERVERA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32</v>
      </c>
      <c r="G10" s="333">
        <f>IF(ISNUMBER(Datos!I10),Datos!I10," - ")</f>
        <v>32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34</v>
      </c>
      <c r="AB10" s="334">
        <f>IF(ISNUMBER(Datos!R10),Datos!R10," - ")</f>
        <v>9</v>
      </c>
      <c r="AC10" s="334">
        <f t="shared" ref="AC10:AC12" si="1">IF(ISNUMBER(AA10+AB10),AA10+AB10," - ")</f>
        <v>43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253</v>
      </c>
      <c r="Y12" s="334">
        <f t="shared" si="0"/>
        <v>253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2142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221</v>
      </c>
      <c r="AJ12" s="229" t="str">
        <f>IF(ISNUMBER(Datos!BW12),Datos!BW12," - ")</f>
        <v xml:space="preserve"> - </v>
      </c>
      <c r="AK12" s="228" t="str">
        <f>IF(ISNUMBER(Datos!BX12),Datos!BX12," - ")</f>
        <v xml:space="preserve"> - </v>
      </c>
      <c r="AL12" s="243">
        <f>IF(ISNUMBER(NºAsuntos!G12/NºAsuntos!E12),NºAsuntos!G12/NºAsuntos!E12," - ")</f>
        <v>0.90191082802547773</v>
      </c>
      <c r="AM12" s="260">
        <f>IF(ISNUMBER(((NºAsuntos!I12/NºAsuntos!G12)*11)/factor_trimestre),((NºAsuntos!I12/NºAsuntos!G12)*11)/factor_trimestre," - ")</f>
        <v>8.3686440677966107</v>
      </c>
      <c r="AN12" s="244">
        <f>IF(ISNUMBER('Resol  Asuntos'!D12/NºAsuntos!G12),'Resol  Asuntos'!D12/NºAsuntos!G12," - ")</f>
        <v>0.31214689265536721</v>
      </c>
      <c r="AO12" s="245">
        <f>IF(ISNUMBER((NºAsuntos!C12+NºAsuntos!E12)/NºAsuntos!G12),(NºAsuntos!C12+NºAsuntos!E12)/NºAsuntos!G12," - ")</f>
        <v>3.7895480225988702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32</v>
      </c>
      <c r="G13" s="866">
        <f t="shared" si="3"/>
        <v>32</v>
      </c>
      <c r="H13" s="865">
        <f t="shared" si="3"/>
        <v>0</v>
      </c>
      <c r="I13" s="867">
        <f t="shared" si="3"/>
        <v>0</v>
      </c>
      <c r="J13" s="867">
        <f t="shared" si="3"/>
        <v>0</v>
      </c>
      <c r="K13" s="867">
        <f t="shared" si="3"/>
        <v>0</v>
      </c>
      <c r="L13" s="867">
        <f t="shared" si="3"/>
        <v>181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253</v>
      </c>
      <c r="Y13" s="868">
        <f t="shared" si="4"/>
        <v>253</v>
      </c>
      <c r="Z13" s="868">
        <f t="shared" si="4"/>
        <v>0</v>
      </c>
      <c r="AA13" s="868">
        <f t="shared" si="4"/>
        <v>34</v>
      </c>
      <c r="AB13" s="868">
        <f t="shared" si="4"/>
        <v>2151</v>
      </c>
      <c r="AC13" s="868">
        <f t="shared" si="4"/>
        <v>43</v>
      </c>
      <c r="AD13" s="868">
        <f t="shared" si="4"/>
        <v>0</v>
      </c>
      <c r="AE13" s="872">
        <f t="shared" si="4"/>
        <v>0</v>
      </c>
      <c r="AF13" s="865">
        <f t="shared" si="4"/>
        <v>0</v>
      </c>
      <c r="AG13" s="873">
        <f t="shared" si="4"/>
        <v>0</v>
      </c>
      <c r="AH13" s="870">
        <f t="shared" si="4"/>
        <v>0</v>
      </c>
      <c r="AI13" s="865">
        <f t="shared" si="4"/>
        <v>221</v>
      </c>
      <c r="AJ13" s="867">
        <f t="shared" si="4"/>
        <v>0</v>
      </c>
      <c r="AK13" s="870">
        <f>SUBTOTAL(9,AK9:AK12)</f>
        <v>0</v>
      </c>
      <c r="AL13" s="874">
        <f>IF(ISNUMBER(NºAsuntos!G13/NºAsuntos!E13),NºAsuntos!G13/NºAsuntos!E13," - ")</f>
        <v>0.89961880559085139</v>
      </c>
      <c r="AM13" s="874">
        <f>IF(ISNUMBER(((NºAsuntos!I13/NºAsuntos!G13)*11)/factor_trimestre),((NºAsuntos!I13/NºAsuntos!G13)*11)/factor_trimestre," - ")</f>
        <v>8.5127118644067803</v>
      </c>
      <c r="AN13" s="875">
        <f>IF(ISNUMBER('Resol  Asuntos'!D13/NºAsuntos!G13),'Resol  Asuntos'!D13/NºAsuntos!G13," - ")</f>
        <v>0.31214689265536721</v>
      </c>
      <c r="AO13" s="876">
        <f>IF(ISNUMBER((NºAsuntos!C13+NºAsuntos!E13)/NºAsuntos!G13),(NºAsuntos!C13+NºAsuntos!E13)/NºAsuntos!G13," - ")</f>
        <v>3.8375706214689265</v>
      </c>
      <c r="AP13" s="877" t="str">
        <f t="shared" si="2"/>
        <v xml:space="preserve"> - </v>
      </c>
      <c r="AQ13" s="877">
        <f>IF(ISNUMBER((H13-W13+K13)/(F13)),(H13-W13+K13)/(F13)," - ")</f>
        <v>0</v>
      </c>
      <c r="AR13" s="878">
        <f>IF(ISNUMBER((Datos!P13-Datos!Q13)/(Datos!R13-Datos!P13+Datos!Q13)),(Datos!P13-Datos!Q13)/(Datos!R13-Datos!P13+Datos!Q13)," - ")</f>
        <v>-3.2388663967611336E-2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1285</v>
      </c>
      <c r="G16" s="333">
        <f>IF(ISNUMBER(IF(D_I="SI",Datos!I16,Datos!I16+Datos!AC16)),IF(D_I="SI",Datos!I16,Datos!I16+Datos!AC16)," - ")</f>
        <v>1285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427</v>
      </c>
      <c r="X16" s="226">
        <f>IF(ISNUMBER(Datos!Q16),Datos!Q16," - ")</f>
        <v>0</v>
      </c>
      <c r="Y16" s="334">
        <f t="shared" ref="Y16:Y17" si="7">SUM(W16:X16)</f>
        <v>427</v>
      </c>
      <c r="Z16" s="335" t="str">
        <f>IF(ISNUMBER(Datos!CC16),Datos!CC16," - ")</f>
        <v xml:space="preserve"> - </v>
      </c>
      <c r="AA16" s="332">
        <f>IF(ISNUMBER(IF(D_I="SI",Datos!L16,Datos!L16+Datos!AF16)),IF(D_I="SI",Datos!L16,Datos!L16+Datos!AF16)," - ")</f>
        <v>1443</v>
      </c>
      <c r="AB16" s="334">
        <f>IF(ISNUMBER(Datos!R16),Datos!R16," - ")</f>
        <v>71</v>
      </c>
      <c r="AC16" s="334">
        <f t="shared" si="6"/>
        <v>1514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103</v>
      </c>
      <c r="AJ16" s="231" t="str">
        <f>IF(ISNUMBER(Datos!BW16),Datos!BW16," - ")</f>
        <v xml:space="preserve"> - </v>
      </c>
      <c r="AK16" s="232" t="str">
        <f>IF(ISNUMBER(Datos!BX16),Datos!BX16," - ")</f>
        <v xml:space="preserve"> - </v>
      </c>
      <c r="AL16" s="243">
        <f>IF(ISNUMBER(NºAsuntos!G16/NºAsuntos!E16),NºAsuntos!G16/NºAsuntos!E16," - ")</f>
        <v>0.72991452991452987</v>
      </c>
      <c r="AM16" s="260">
        <f>IF(ISNUMBER(((NºAsuntos!I16/NºAsuntos!G16)*11)/factor_trimestre),((NºAsuntos!I16/NºAsuntos!G16)*11)/factor_trimestre," - ")</f>
        <v>10.138173302107729</v>
      </c>
      <c r="AN16" s="244">
        <f>IF(ISNUMBER('Resol  Asuntos'!D16/NºAsuntos!G16),'Resol  Asuntos'!D16/NºAsuntos!G16," - ")</f>
        <v>0.24121779859484777</v>
      </c>
      <c r="AO16" s="245">
        <f>IF(ISNUMBER((NºAsuntos!C16+NºAsuntos!E16)/NºAsuntos!G16),(NºAsuntos!C16+NºAsuntos!E16)/NºAsuntos!G16," - ")</f>
        <v>4.3793911007025761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86</v>
      </c>
      <c r="X17" s="226">
        <f>IF(ISNUMBER(Datos!Q17),Datos!Q17," - ")</f>
        <v>0</v>
      </c>
      <c r="Y17" s="334">
        <f t="shared" si="7"/>
        <v>86</v>
      </c>
      <c r="Z17" s="335" t="str">
        <f>IF(ISNUMBER(Datos!CC17),Datos!CC17," - ")</f>
        <v xml:space="preserve"> - </v>
      </c>
      <c r="AA17" s="332">
        <f>IF(ISNUMBER(Datos!L17),Datos!L17,"-")</f>
        <v>75</v>
      </c>
      <c r="AB17" s="334">
        <f>IF(ISNUMBER(Datos!R17),Datos!R17," - ")</f>
        <v>10</v>
      </c>
      <c r="AC17" s="334">
        <f t="shared" si="6"/>
        <v>85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19</v>
      </c>
      <c r="AJ17" s="231" t="str">
        <f>IF(ISNUMBER(Datos!BW17),Datos!BW17," - ")</f>
        <v xml:space="preserve"> - </v>
      </c>
      <c r="AK17" s="232" t="str">
        <f>IF(ISNUMBER(Datos!BX17),Datos!BX17," - ")</f>
        <v xml:space="preserve"> - </v>
      </c>
      <c r="AL17" s="243">
        <f>IF(ISNUMBER(NºAsuntos!G17/NºAsuntos!E17),NºAsuntos!G17/NºAsuntos!E17," - ")</f>
        <v>1.34375</v>
      </c>
      <c r="AM17" s="260">
        <f>IF(ISNUMBER(((NºAsuntos!I17/NºAsuntos!G17)*11)/factor_trimestre),((NºAsuntos!I17/NºAsuntos!G17)*11)/factor_trimestre," - ")</f>
        <v>2.6162790697674421</v>
      </c>
      <c r="AN17" s="244">
        <f>IF(ISNUMBER('Resol  Asuntos'!D17/NºAsuntos!G17),'Resol  Asuntos'!D17/NºAsuntos!G17," - ")</f>
        <v>0.22093023255813954</v>
      </c>
      <c r="AO17" s="245">
        <f>IF(ISNUMBER((NºAsuntos!C17+NºAsuntos!E17)/NºAsuntos!G17),(NºAsuntos!C17+NºAsuntos!E17)/NºAsuntos!G17," - ")</f>
        <v>1.8720930232558139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1285</v>
      </c>
      <c r="G18" s="866">
        <f>SUBTOTAL(9,G15:G17)</f>
        <v>1382</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513</v>
      </c>
      <c r="X18" s="867">
        <f t="shared" si="11"/>
        <v>0</v>
      </c>
      <c r="Y18" s="868">
        <f t="shared" si="11"/>
        <v>513</v>
      </c>
      <c r="Z18" s="868">
        <f t="shared" si="11"/>
        <v>0</v>
      </c>
      <c r="AA18" s="868">
        <f t="shared" si="11"/>
        <v>1518</v>
      </c>
      <c r="AB18" s="868">
        <f t="shared" si="11"/>
        <v>81</v>
      </c>
      <c r="AC18" s="868">
        <f t="shared" si="11"/>
        <v>1599</v>
      </c>
      <c r="AD18" s="868">
        <f t="shared" si="11"/>
        <v>0</v>
      </c>
      <c r="AE18" s="872">
        <f t="shared" si="11"/>
        <v>0</v>
      </c>
      <c r="AF18" s="865">
        <f t="shared" si="11"/>
        <v>0</v>
      </c>
      <c r="AG18" s="873">
        <f t="shared" si="11"/>
        <v>0</v>
      </c>
      <c r="AH18" s="870">
        <f t="shared" si="11"/>
        <v>0</v>
      </c>
      <c r="AI18" s="865">
        <f t="shared" si="11"/>
        <v>122</v>
      </c>
      <c r="AJ18" s="867">
        <f t="shared" si="11"/>
        <v>0</v>
      </c>
      <c r="AK18" s="870">
        <f t="shared" si="11"/>
        <v>0</v>
      </c>
      <c r="AL18" s="874">
        <f>IF(ISNUMBER(NºAsuntos!G18/NºAsuntos!E18),NºAsuntos!G18/NºAsuntos!E18," - ")</f>
        <v>0.79044684129429887</v>
      </c>
      <c r="AM18" s="874">
        <f>IF(ISNUMBER(((NºAsuntos!I18/NºAsuntos!G18)*11)/factor_trimestre),((NºAsuntos!I18/NºAsuntos!G18)*11)/factor_trimestre," - ")</f>
        <v>8.8771929824561404</v>
      </c>
      <c r="AN18" s="875">
        <f>IF(ISNUMBER('Resol  Asuntos'!D18/NºAsuntos!G18),'Resol  Asuntos'!D18/NºAsuntos!G18," - ")</f>
        <v>0.23781676413255359</v>
      </c>
      <c r="AO18" s="876">
        <f>IF(ISNUMBER((NºAsuntos!C18+NºAsuntos!E18)/NºAsuntos!G18),(NºAsuntos!C18+NºAsuntos!E18)/NºAsuntos!G18," - ")</f>
        <v>3.9590643274853803</v>
      </c>
      <c r="AP18" s="877" t="str">
        <f t="shared" si="2"/>
        <v xml:space="preserve"> - </v>
      </c>
      <c r="AQ18" s="877">
        <f>IF(ISNUMBER((H18-W18+K18)/(F18)),(H18-W18+K18)/(F18)," - ")</f>
        <v>-0.39922178988326851</v>
      </c>
      <c r="AR18" s="878">
        <f>IF(ISNUMBER((Datos!P18-Datos!Q18)/(Datos!R18-Datos!P18+Datos!Q18)),(Datos!P18-Datos!Q18)/(Datos!R18-Datos!P18+Datos!Q18)," - ")</f>
        <v>0.19117647058823528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1317</v>
      </c>
      <c r="G19" s="821">
        <f t="shared" si="13"/>
        <v>1414</v>
      </c>
      <c r="H19" s="820">
        <f t="shared" si="13"/>
        <v>0</v>
      </c>
      <c r="I19" s="822">
        <f t="shared" si="13"/>
        <v>0</v>
      </c>
      <c r="J19" s="822">
        <f t="shared" si="13"/>
        <v>0</v>
      </c>
      <c r="K19" s="881">
        <f t="shared" si="13"/>
        <v>0</v>
      </c>
      <c r="L19" s="822">
        <f t="shared" si="13"/>
        <v>194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513</v>
      </c>
      <c r="X19" s="821">
        <f t="shared" si="14"/>
        <v>253</v>
      </c>
      <c r="Y19" s="828">
        <f t="shared" si="14"/>
        <v>766</v>
      </c>
      <c r="Z19" s="828">
        <f t="shared" si="14"/>
        <v>0</v>
      </c>
      <c r="AA19" s="828">
        <f t="shared" si="14"/>
        <v>1552</v>
      </c>
      <c r="AB19" s="828">
        <f t="shared" si="14"/>
        <v>2232</v>
      </c>
      <c r="AC19" s="828">
        <f t="shared" si="14"/>
        <v>1642</v>
      </c>
      <c r="AD19" s="828">
        <f t="shared" si="14"/>
        <v>0</v>
      </c>
      <c r="AE19" s="830">
        <f t="shared" si="14"/>
        <v>0</v>
      </c>
      <c r="AF19" s="831">
        <f t="shared" si="14"/>
        <v>0</v>
      </c>
      <c r="AG19" s="832">
        <f t="shared" si="14"/>
        <v>0</v>
      </c>
      <c r="AH19" s="830">
        <f t="shared" si="14"/>
        <v>0</v>
      </c>
      <c r="AI19" s="820">
        <f t="shared" si="14"/>
        <v>343</v>
      </c>
      <c r="AJ19" s="820">
        <f t="shared" si="14"/>
        <v>0</v>
      </c>
      <c r="AK19" s="830">
        <f t="shared" si="14"/>
        <v>0</v>
      </c>
      <c r="AL19" s="884">
        <f>IF(ISNUMBER(NºAsuntos!G19/NºAsuntos!E19),NºAsuntos!G19/NºAsuntos!E19," - ")</f>
        <v>0.85027855153203347</v>
      </c>
      <c r="AM19" s="885">
        <f>IF(ISNUMBER(((NºAsuntos!I19/NºAsuntos!G19)*11)/factor_trimestre),((NºAsuntos!I19/NºAsuntos!G19)*11)/factor_trimestre," - ")</f>
        <v>8.6658476658476662</v>
      </c>
      <c r="AN19" s="885">
        <f>IF(ISNUMBER('Resol  Asuntos'!D19/NºAsuntos!G19),'Resol  Asuntos'!D19/NºAsuntos!G19," - ")</f>
        <v>0.28091728091728091</v>
      </c>
      <c r="AO19" s="886">
        <f>IF(ISNUMBER((NºAsuntos!C19+NºAsuntos!E19)/NºAsuntos!G19),(NºAsuntos!C19+NºAsuntos!E19)/NºAsuntos!G19," - ")</f>
        <v>3.8886158886158886</v>
      </c>
      <c r="AP19" s="887" t="str">
        <f t="shared" si="2"/>
        <v xml:space="preserve"> - </v>
      </c>
      <c r="AQ19" s="888">
        <f>IF(OR(ISNUMBER(FIND("01",Criterios!A8,1)),ISNUMBER(FIND("02",Criterios!A8,1)),ISNUMBER(FIND("03",Criterios!A8,1)),ISNUMBER(FIND("04",Criterios!A8,1))),(I19-W19+K19)/(F19-K19),(H19-W19+K19)/(F19-K19))</f>
        <v>-0.38952164009111617</v>
      </c>
      <c r="AR19" s="889">
        <f>IF(ISNUMBER((Datos!P19-Datos!Q19)/(Datos!R19-Datos!P19+Datos!Q19)),(Datos!P19-Datos!Q19)/(Datos!R19-Datos!P19+Datos!Q19)," - ")</f>
        <v>-2.5752946311654298E-2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723.41988729460104</v>
      </c>
      <c r="G21" s="253">
        <f>IF(ISNUMBER(STDEV(G8:G18)),STDEV(G8:G18),"-")</f>
        <v>702.33346780571401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246.14975116786121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94.977190244114226</v>
      </c>
      <c r="AJ21" s="252">
        <f t="shared" si="18"/>
        <v>0</v>
      </c>
      <c r="AK21" s="254">
        <f t="shared" si="18"/>
        <v>0</v>
      </c>
      <c r="AL21" s="249">
        <f t="shared" si="18"/>
        <v>0.4377141301101618</v>
      </c>
      <c r="AM21" s="250">
        <f t="shared" si="18"/>
        <v>2.9275519859942865</v>
      </c>
      <c r="AN21" s="250">
        <f t="shared" si="18"/>
        <v>4.385263632852382E-2</v>
      </c>
      <c r="AO21" s="251">
        <f t="shared" si="18"/>
        <v>0.97585066199809656</v>
      </c>
      <c r="AP21" s="291" t="str">
        <f t="shared" si="18"/>
        <v>-</v>
      </c>
      <c r="AQ21" s="292">
        <f t="shared" si="18"/>
        <v>0.28229243482389021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uGeEmg3XkcaoyAB5mol26Rkv2lwEEE8JBiFcA3r7d8VCIXSnosZM4EGQbGNGM3j3pbzN4CD31YRurdPstipsnQ==" saltValue="BKM5R1daP9leHu/L/ZHR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CERVERA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0.28000000000000003</v>
      </c>
      <c r="E10" s="348">
        <f>IF(ISNUMBER((Datos!J10-Datos!T10)/Datos!T10),(Datos!J10-Datos!T10)/Datos!T10," - ")</f>
        <v>-0.66666666666666663</v>
      </c>
      <c r="F10" s="348">
        <f>IF(ISNUMBER((Datos!K10-Datos!U10)/Datos!U10),(Datos!K10-Datos!U10)/Datos!U10," - ")</f>
        <v>-1</v>
      </c>
      <c r="G10" s="349">
        <f>IF(ISNUMBER((Datos!L10-Datos!V10)/Datos!V10),(Datos!L10-Datos!V10)/Datos!V10," - ")</f>
        <v>0.61904761904761907</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0.68702290076335881</v>
      </c>
      <c r="I12" s="350">
        <f>IF(ISNUMBER((Tasas!C12-Datos!BE12)/Datos!BE12),(Tasas!C12-Datos!BE12)/Datos!BE12," - ")</f>
        <v>0.13222831505483565</v>
      </c>
      <c r="J12" s="349">
        <f>IF(ISNUMBER((Tasas!D12-Datos!BF12)/Datos!BF12),(Tasas!D12-Datos!BF12)/Datos!BF12," - ")</f>
        <v>0.38459443099273599</v>
      </c>
      <c r="K12" s="351">
        <f>IF(ISNUMBER((Tasas!E12-Datos!BG12)/Datos!BG12),(Tasas!E12-Datos!BG12)/Datos!BG12," - ")</f>
        <v>0.10691877800277438</v>
      </c>
      <c r="M12" t="e">
        <f>IF(Monitorios="SI",Datos!CE12,0)</f>
        <v>#REF!</v>
      </c>
      <c r="N12" t="e">
        <f>IF(Monitorios="SI",Datos!CF12,0)</f>
        <v>#REF!</v>
      </c>
      <c r="O12" t="e">
        <f>IF(Monitorios="SI",Datos!CG12,0)</f>
        <v>#REF!</v>
      </c>
      <c r="P12" t="e">
        <f>IF(Monitorios="SI",Datos!CH12,0)</f>
        <v>#REF!</v>
      </c>
      <c r="Q12">
        <f>IF(J_V="SI",0,Datos!AG12)</f>
        <v>8</v>
      </c>
      <c r="R12">
        <f>IF(J_V="SI",0,Datos!AH12)</f>
        <v>21</v>
      </c>
      <c r="S12">
        <f>IF(J_V="SI",0,Datos!AI12)</f>
        <v>16</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0.60144927536231885</v>
      </c>
      <c r="I13" s="357">
        <f>IF(ISNUMBER((Tasas!C13-Datos!BE13)/Datos!BE13),(Tasas!C13-Datos!BE13)/Datos!BE13," - ")</f>
        <v>0.154421058766533</v>
      </c>
      <c r="J13" s="355">
        <f>IF(ISNUMBER((Tasas!D13-Datos!BF13)/Datos!BF13),(Tasas!D13-Datos!BF13)/Datos!BF13," - ")</f>
        <v>0.33989584534378708</v>
      </c>
      <c r="K13" s="358">
        <f>IF(ISNUMBER((Tasas!E13-Datos!BG13)/Datos!BG13),(Tasas!E13-Datos!BG13)/Datos!BG13," - ")</f>
        <v>0.12262728889517503</v>
      </c>
      <c r="M13" t="e">
        <f>IF(Monitorios="SI",Datos!CE13,0)</f>
        <v>#REF!</v>
      </c>
      <c r="N13" t="e">
        <f>IF(Monitorios="SI",Datos!CF13,0)</f>
        <v>#REF!</v>
      </c>
      <c r="O13" t="e">
        <f>IF(Monitorios="SI",Datos!CG13,0)</f>
        <v>#REF!</v>
      </c>
      <c r="P13" t="e">
        <f>IF(Monitorios="SI",Datos!CH13,0)</f>
        <v>#REF!</v>
      </c>
      <c r="Q13">
        <f>IF(J_V="SI",0,Datos!AG13)</f>
        <v>8</v>
      </c>
      <c r="R13">
        <f>IF(J_V="SI",0,Datos!AH13)</f>
        <v>21</v>
      </c>
      <c r="S13">
        <f>IF(J_V="SI",0,Datos!AI13)</f>
        <v>16</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0.35978835978835977</v>
      </c>
      <c r="E16" s="348">
        <f>IF(ISNUMBER(
   IF(D_I="SI",(Datos!J16-Datos!T16)/Datos!T16,(Datos!J16+Datos!AD16-(Datos!T16+Datos!AL16))/(Datos!T16+Datos!AL16))
     ),IF(D_I="SI",(Datos!J16-Datos!T16)/Datos!T16,(Datos!J16+Datos!AD16-(Datos!T16+Datos!AL16))/(Datos!T16+Datos!AL16))," - ")</f>
        <v>5.9782608695652176E-2</v>
      </c>
      <c r="F16" s="348">
        <f>IF(ISNUMBER(
   IF(D_I="SI",(Datos!K16-Datos!U16)/Datos!U16,(Datos!K16+Datos!AE16-(Datos!U16+Datos!AM16))/(Datos!U16+Datos!AM16))
     ),IF(D_I="SI",(Datos!K16-Datos!U16)/Datos!U16,(Datos!K16+Datos!AE16-(Datos!U16+Datos!AM16))/(Datos!U16+Datos!AM16))," - ")</f>
        <v>0.12368421052631579</v>
      </c>
      <c r="G16" s="349">
        <f>IF(ISNUMBER(
   IF(D_I="SI",(Datos!L16-Datos!V16)/Datos!V16,(Datos!L16+Datos!AF16-(Datos!V16+Datos!AN16))/(Datos!V16+Datos!AN16))
     ),IF(D_I="SI",(Datos!L16-Datos!V16)/Datos!V16,(Datos!L16+Datos!AF16-(Datos!V16+Datos!AN16))/(Datos!V16+Datos!AN16))," - ")</f>
        <v>1.6380255941499087</v>
      </c>
      <c r="H16" s="230">
        <f>IF(ISNUMBER((Datos!M16-Datos!W16)/Datos!W16),(Datos!M16-Datos!W16)/Datos!W16," - ")</f>
        <v>-0.10434782608695652</v>
      </c>
      <c r="I16" s="350">
        <f>IF(ISNUMBER((Tasas!C16-Datos!BE16)/Datos!BE16),(Tasas!C16-Datos!BE16)/Datos!BE16," - ")</f>
        <v>1.3476574374167807</v>
      </c>
      <c r="J16" s="349">
        <f>IF(ISNUMBER((Tasas!D16-Datos!BF16)/Datos!BF16),(Tasas!D16-Datos!BF16)/Datos!BF16," - ")</f>
        <v>-0.20293249159963347</v>
      </c>
      <c r="K16" s="351">
        <f>IF(ISNUMBER((Tasas!E16-Datos!BG16)/Datos!BG16),(Tasas!E16-Datos!BG16)/Datos!BG16," - ")</f>
        <v>0.11166908367867659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2.129032258064516</v>
      </c>
      <c r="E17" s="348">
        <f>IF(ISNUMBER(
   IF(D_I="SI",(Datos!J17-Datos!T17)/Datos!T17,(Datos!J17+Datos!AD17-(Datos!T17+Datos!AL17))/(Datos!T17+Datos!AL17))
     ),IF(D_I="SI",(Datos!J17-Datos!T17)/Datos!T17,(Datos!J17+Datos!AD17-(Datos!T17+Datos!AL17))/(Datos!T17+Datos!AL17))," - ")</f>
        <v>1.5873015873015872E-2</v>
      </c>
      <c r="F17" s="348">
        <f>IF(ISNUMBER(
   IF(D_I="SI",(Datos!K17-Datos!U17)/Datos!U17,(Datos!K17+Datos!AE17-(Datos!U17+Datos!AM17))/(Datos!U17+Datos!AM17))
     ),IF(D_I="SI",(Datos!K17-Datos!U17)/Datos!U17,(Datos!K17+Datos!AE17-(Datos!U17+Datos!AM17))/(Datos!U17+Datos!AM17))," - ")</f>
        <v>0.86956521739130432</v>
      </c>
      <c r="G17" s="349">
        <f>IF(ISNUMBER(
   IF(D_I="SI",(Datos!L17-Datos!V17)/Datos!V17,(Datos!L17+Datos!AF17-(Datos!V17+Datos!AN17))/(Datos!V17+Datos!AN17))
     ),IF(D_I="SI",(Datos!L17-Datos!V17)/Datos!V17,(Datos!L17+Datos!AF17-(Datos!V17+Datos!AN17))/(Datos!V17+Datos!AN17))," - ")</f>
        <v>0.5625</v>
      </c>
      <c r="H17" s="230">
        <f>IF(ISNUMBER((Datos!M17-Datos!W17)/Datos!W17),(Datos!M17-Datos!W17)/Datos!W17," - ")</f>
        <v>0.72727272727272729</v>
      </c>
      <c r="I17" s="350">
        <f>IF(ISNUMBER((Tasas!C17-Datos!BE17)/Datos!BE17),(Tasas!C17-Datos!BE17)/Datos!BE17," - ")</f>
        <v>-0.16424418604651161</v>
      </c>
      <c r="J17" s="349">
        <f>IF(ISNUMBER((Tasas!D17-Datos!BF17)/Datos!BF17),(Tasas!D17-Datos!BF17)/Datos!BF17," - ")</f>
        <v>-7.6109936575052869E-2</v>
      </c>
      <c r="K17" s="351">
        <f>IF(ISNUMBER((Tasas!E17-Datos!BG17)/Datos!BG17),(Tasas!E17-Datos!BG17)/Datos!BG17," - ")</f>
        <v>-8.3869371598218792E-2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0.41598360655737704</v>
      </c>
      <c r="E18" s="354">
        <f>IF(ISNUMBER(
   IF(D_I="SI",(Datos!J18-Datos!T18)/Datos!T18,(Datos!J18+Datos!AD18-(Datos!T18+Datos!AL18))/(Datos!T18+Datos!AL18))
     ),IF(D_I="SI",(Datos!J18-Datos!T18)/Datos!T18,(Datos!J18+Datos!AD18-(Datos!T18+Datos!AL18))/(Datos!T18+Datos!AL18))," - ")</f>
        <v>5.5284552845528454E-2</v>
      </c>
      <c r="F18" s="354">
        <f>IF(ISNUMBER(
   IF(D_I="SI",(Datos!K18-Datos!U18)/Datos!U18,(Datos!K18+Datos!AE18-(Datos!U18+Datos!AM18))/(Datos!U18+Datos!AM18))
     ),IF(D_I="SI",(Datos!K18-Datos!U18)/Datos!U18,(Datos!K18+Datos!AE18-(Datos!U18+Datos!AM18))/(Datos!U18+Datos!AM18))," - ")</f>
        <v>0.20422535211267606</v>
      </c>
      <c r="G18" s="355">
        <f>IF(ISNUMBER(
   IF(D_I="SI",(Datos!L18-Datos!V18)/Datos!V18,(Datos!L18+Datos!AF18-(Datos!V18+Datos!AN18))/(Datos!V18+Datos!AN18))
     ),IF(D_I="SI",(Datos!L18-Datos!V18)/Datos!V18,(Datos!L18+Datos!AF18-(Datos!V18+Datos!AN18))/(Datos!V18+Datos!AN18))," - ")</f>
        <v>1.5512605042016807</v>
      </c>
      <c r="H18" s="356">
        <f>IF(ISNUMBER((Datos!M18-Datos!W18)/Datos!W18),(Datos!M18-Datos!W18)/Datos!W18," - ")</f>
        <v>-3.1746031746031744E-2</v>
      </c>
      <c r="I18" s="357">
        <f>IF(ISNUMBER((Tasas!C18-Datos!BE18)/Datos!BE18),(Tasas!C18-Datos!BE18)/Datos!BE18," - ")</f>
        <v>1.1185905941323899</v>
      </c>
      <c r="J18" s="355">
        <f>IF(ISNUMBER((Tasas!D18-Datos!BF18)/Datos!BF18),(Tasas!D18-Datos!BF18)/Datos!BF18," - ")</f>
        <v>-0.19595284507565211</v>
      </c>
      <c r="K18" s="358">
        <f>IF(ISNUMBER((Tasas!E18-Datos!BG18)/Datos!BG18),(Tasas!E18-Datos!BG18)/Datos!BG18," - ")</f>
        <v>6.0063735706330661E-2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0.32215568862275451</v>
      </c>
      <c r="E19" s="363">
        <f>IF(ISNUMBER(
   IF(J_V="SI",(Datos!J19-Datos!T19)/Datos!T19,(Datos!J19+Datos!Z19-(Datos!T19+Datos!AH19))/(Datos!T19+Datos!AH19))
     ),IF(J_V="SI",(Datos!J19-Datos!T19)/Datos!T19,(Datos!J19+Datos!Z19-(Datos!T19+Datos!AH19))/(Datos!T19+Datos!AH19))," - ")</f>
        <v>0.15526950925181013</v>
      </c>
      <c r="F19" s="363">
        <f>IF(ISNUMBER(
   IF(J_V="SI",(Datos!K19-Datos!U19)/Datos!U19,(Datos!K19+Datos!AA19-(Datos!U19+Datos!AI19))/(Datos!U19+Datos!AI19))
     ),IF(J_V="SI",(Datos!K19-Datos!U19)/Datos!U19,(Datos!K19+Datos!AA19-(Datos!U19+Datos!AI19))/(Datos!U19+Datos!AI19))," - ")</f>
        <v>0.15515610217596973</v>
      </c>
      <c r="G19" s="364">
        <f>IF(ISNUMBER(
   IF(J_V="SI",(Datos!L19-Datos!V19)/Datos!V19,(Datos!L19+Datos!AB19-(Datos!V19+Datos!AJ19))/(Datos!V19+Datos!AJ19))
     ),IF(J_V="SI",(Datos!L19-Datos!V19)/Datos!V19,(Datos!L19+Datos!AB19-(Datos!V19+Datos!AJ19))/(Datos!V19+Datos!AJ19))," - ")</f>
        <v>0.64352283317800563</v>
      </c>
      <c r="H19" s="365">
        <f>IF(ISNUMBER((Datos!M19-Datos!W19)/Datos!W19),(Datos!M19-Datos!W19)/Datos!W19," - ")</f>
        <v>0.29924242424242425</v>
      </c>
      <c r="I19" s="362">
        <f>IF(ISNUMBER((Tasas!C19-Datos!BE19)/Datos!BE19),(Tasas!C19-Datos!BE19)/Datos!BE19," - ")</f>
        <v>0.42277119956523496</v>
      </c>
      <c r="J19" s="363">
        <f>IF(ISNUMBER((Tasas!D19-Datos!BF19)/Datos!BF19),(Tasas!D19-Datos!BF19)/Datos!BF19," - ")</f>
        <v>8.7654087654087678E-2</v>
      </c>
      <c r="K19" s="364">
        <f>IF(ISNUMBER((Tasas!E19-Datos!BG19)/Datos!BG19),(Tasas!E19-Datos!BG19)/Datos!BG19," - ")</f>
        <v>9.6656081714779671E-2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0.89030404800600282</v>
      </c>
      <c r="E21" s="278">
        <f t="shared" si="1"/>
        <v>0.35570400679096598</v>
      </c>
      <c r="F21" s="278">
        <f t="shared" si="1"/>
        <v>0.77532796791397629</v>
      </c>
      <c r="G21" s="279">
        <f t="shared" si="1"/>
        <v>0.5811243003426757</v>
      </c>
      <c r="H21" s="285">
        <f t="shared" si="1"/>
        <v>0.6701640499442667</v>
      </c>
      <c r="I21" s="277">
        <f t="shared" si="1"/>
        <v>0.66998259889078193</v>
      </c>
      <c r="J21" s="278">
        <f t="shared" si="1"/>
        <v>0.28998463183638512</v>
      </c>
      <c r="K21" s="279">
        <f t="shared" si="1"/>
        <v>8.5777364668399594E-2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P6KaxeKKA1H2EKfy10r4r2UaIEzz2/2JjEHBL3hlvWji4SLKl/WIkPOJEDvh1b1O2F404/gA/r90b1+VUAbCw==" saltValue="2CSTKXDyo6ubMSHhEURZ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32</v>
      </c>
      <c r="D10" s="225">
        <f>IF(ISNUMBER(Datos!I10),Datos!I10," - ")</f>
        <v>32</v>
      </c>
      <c r="E10" s="226">
        <f>IF(ISNUMBER(Datos!J10),Datos!J10," - ")</f>
        <v>2</v>
      </c>
      <c r="F10" s="226">
        <f>IF(ISNUMBER(Datos!K10),Datos!K10," - ")</f>
        <v>0</v>
      </c>
      <c r="G10" s="1034" t="str">
        <f>IF(Datos!E10&lt;&gt;"",Datos!E10,Datos!D10)</f>
        <v>37</v>
      </c>
      <c r="H10" s="227">
        <f>IF(ISNUMBER(Datos!L10),Datos!L10," - ")</f>
        <v>34</v>
      </c>
      <c r="I10" s="1044" t="str">
        <f>IF(ISNUMBER(Datos!AS10/Datos!BM10),Datos!AS10/Datos!BM10," - ")</f>
        <v xml:space="preserve"> - </v>
      </c>
      <c r="J10" s="1045">
        <f>IF(ISNUMBER(Datos!BY10/Datos!CN10),Datos!BY10/Datos!CN10," - ")</f>
        <v>0</v>
      </c>
      <c r="K10" s="230">
        <f t="shared" ref="K10:K12" si="1">IF(ISNUMBER((E10-F10)/C10),(E10-F10)/C10," - ")</f>
        <v>6.25E-2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30.685028248587571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32</v>
      </c>
      <c r="D13" s="1049">
        <f>SUBTOTAL(9,D9:D12)</f>
        <v>32</v>
      </c>
      <c r="E13" s="1050">
        <f>SUBTOTAL(9,E9:E12)</f>
        <v>2</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1285</v>
      </c>
      <c r="D16" s="225">
        <f>IF(ISNUMBER(IF(D_I="SI",Datos!I16,Datos!I16+Datos!AC16)),IF(D_I="SI",Datos!I16,Datos!I16+Datos!AC16)," - ")</f>
        <v>1285</v>
      </c>
      <c r="E16" s="226">
        <f>IF(ISNUMBER(IF(D_I="SI",Datos!J16,Datos!J16+Datos!AD16)),IF(D_I="SI",Datos!J16,Datos!J16+Datos!AD16)," - ")</f>
        <v>585</v>
      </c>
      <c r="F16" s="226">
        <f>IF(ISNUMBER(IF(D_I="SI",Datos!K16,Datos!K16+Datos!AE16)),IF(D_I="SI",Datos!K16,Datos!K16+Datos!AE16)," - ")</f>
        <v>427</v>
      </c>
      <c r="G16" s="1034" t="str">
        <f>IF(Datos!E16&lt;&gt;"",Datos!E16,Datos!D16)</f>
        <v>04</v>
      </c>
      <c r="H16" s="227">
        <f>IF(ISNUMBER(IF(D_I="SI",Datos!L16,Datos!L16+Datos!AF16)),IF(D_I="SI",Datos!L16,Datos!L16+Datos!AF16)," - ")</f>
        <v>1443</v>
      </c>
      <c r="I16" s="1044" t="str">
        <f>IF(ISNUMBER(Datos!AS16/Datos!BM16),Datos!AS16/Datos!BM16," - ")</f>
        <v xml:space="preserve"> - </v>
      </c>
      <c r="J16" s="1045">
        <f>IF(ISNUMBER(Datos!BY16/Datos!CN16),Datos!BY16/Datos!CN16," - ")</f>
        <v>0</v>
      </c>
      <c r="K16" s="230">
        <f t="shared" si="3"/>
        <v>0.12295719844357976</v>
      </c>
      <c r="L16" s="1025">
        <f>IF(ISNUMBER(NºAsuntos!I16/NºAsuntos!G16),(NºAsuntos!I16/NºAsuntos!G16)*11," - ")</f>
        <v>37.17330210772834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64</v>
      </c>
      <c r="F17" s="226">
        <f>IF(ISNUMBER(IF(D_I="SI",Datos!K17,Datos!K17+Datos!AE17)),IF(D_I="SI",Datos!K17,Datos!K17+Datos!AE17)," - ")</f>
        <v>86</v>
      </c>
      <c r="G17" s="1034" t="str">
        <f>IF(Datos!E17&lt;&gt;"",Datos!E17,Datos!D17)</f>
        <v>37</v>
      </c>
      <c r="H17" s="227">
        <f>IF(ISNUMBER(IF(D_I="SI",Datos!L17,Datos!L17+Datos!AF17)),IF(D_I="SI",Datos!L17,Datos!L17+Datos!AF17)," - ")</f>
        <v>75</v>
      </c>
      <c r="I17" s="1044" t="str">
        <f>IF(ISNUMBER(Datos!AS17/Datos!BM17),Datos!AS17/Datos!BM17," - ")</f>
        <v xml:space="preserve"> - </v>
      </c>
      <c r="J17" s="1045" t="str">
        <f>IF(ISNUMBER((Datos!BY17+Datos!BZ17)/Datos!CN17),(Datos!BY17+Datos!BZ17)/Datos!CN17," - ")</f>
        <v xml:space="preserve"> - </v>
      </c>
      <c r="K17" s="230">
        <f t="shared" si="3"/>
        <v>-0.22680412371134021</v>
      </c>
      <c r="L17" s="1025">
        <f>IF(ISNUMBER(NºAsuntos!I17/NºAsuntos!G17),(NºAsuntos!I17/NºAsuntos!G17)*11," - ")</f>
        <v>9.5930232558139537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1382</v>
      </c>
      <c r="D18" s="1049">
        <f>SUBTOTAL(9,D15:D17)</f>
        <v>1382</v>
      </c>
      <c r="E18" s="1050">
        <f>SUBTOTAL(9,E15:E17)</f>
        <v>649</v>
      </c>
      <c r="F18" s="1050">
        <f>SUBTOTAL(9,F15:F17)</f>
        <v>513</v>
      </c>
      <c r="G18" s="1052" t="str">
        <f ca="1">INDIRECT(CONCATENATE("G",ROW()-1))</f>
        <v>37</v>
      </c>
      <c r="H18" s="1053">
        <f ca="1">SUMIF(G$14:G17,G18,H$14:H17)</f>
        <v>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1414</v>
      </c>
      <c r="D19" s="1071">
        <f>SUBTOTAL(9,D9:D18)</f>
        <v>1414</v>
      </c>
      <c r="E19" s="1072">
        <f>SUBTOTAL(9,E9:E18)</f>
        <v>651</v>
      </c>
      <c r="F19" s="1072">
        <f>SUBTOTAL(9,F9:F18)</f>
        <v>513</v>
      </c>
      <c r="G19" s="1073"/>
      <c r="H19" s="1074">
        <f ca="1">SUMIF(B9:B18,"TOTAL",H9:H18)</f>
        <v>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BRpHgNIoYY0alUcm3rySCeAYFnLuRf/9vOtxjrBTiaXn+JuZm9Spm9UNzd5A8adnt5VgsNGGSbX+ISN4nqo4Q==" saltValue="8VJXan8sliGJ3vnRghtZR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Uw4oTaGMXdPhO9hnqySTFt4icKLF5L9JmuuWG1VzdqcLjJbWJq+rxynk9ZlPLXeXkj8Mlw5cmYOVeAbyCSncw==" saltValue="aWcANQeR/6P9CEVZrc7N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32</v>
      </c>
      <c r="J10" s="181">
        <v>2</v>
      </c>
      <c r="K10" s="181">
        <v>0</v>
      </c>
      <c r="L10" s="181">
        <v>34</v>
      </c>
      <c r="M10" s="181">
        <v>0</v>
      </c>
      <c r="N10" s="181">
        <v>0</v>
      </c>
      <c r="O10" s="181">
        <v>0</v>
      </c>
      <c r="P10" s="181">
        <v>2</v>
      </c>
      <c r="Q10" s="181">
        <v>0</v>
      </c>
      <c r="R10" s="181">
        <v>9</v>
      </c>
      <c r="S10" s="181">
        <v>25</v>
      </c>
      <c r="T10" s="181">
        <v>6</v>
      </c>
      <c r="U10" s="181">
        <v>10</v>
      </c>
      <c r="V10" s="181">
        <v>21</v>
      </c>
      <c r="W10" s="181">
        <v>7</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6</v>
      </c>
      <c r="BA10" s="129">
        <f t="shared" si="0"/>
        <v>10</v>
      </c>
      <c r="BB10" s="129">
        <f t="shared" si="0"/>
        <v>21</v>
      </c>
      <c r="BC10" s="125">
        <f t="shared" si="0"/>
        <v>7</v>
      </c>
      <c r="BD10" s="126">
        <f>IF(ISNUMBER(BA10/AZ10),BA10/AZ10," - ")</f>
        <v>1.6666666666666667</v>
      </c>
      <c r="BE10" s="127">
        <f>IF(ISNUMBER(BB10/BA10),BB10/BA10, " - ")</f>
        <v>2.1</v>
      </c>
      <c r="BF10" s="127">
        <f>IF(ISNUMBER(BC10/BA10),BC10/BA10, " - ")</f>
        <v>0.7</v>
      </c>
      <c r="BG10" s="196">
        <f>IF(ISNUMBER((AY10+AZ10)/BA10),(AY10+AZ10)/BA10," - ")</f>
        <v>3.1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1863</v>
      </c>
      <c r="J12" s="183">
        <v>757</v>
      </c>
      <c r="K12" s="183">
        <v>692</v>
      </c>
      <c r="L12" s="183">
        <v>1928</v>
      </c>
      <c r="M12" s="183">
        <v>221</v>
      </c>
      <c r="N12" s="183">
        <v>216</v>
      </c>
      <c r="O12" s="181">
        <v>366</v>
      </c>
      <c r="P12" s="183">
        <v>179</v>
      </c>
      <c r="Q12" s="183">
        <v>253</v>
      </c>
      <c r="R12" s="183">
        <v>2142</v>
      </c>
      <c r="S12" s="183">
        <v>1496</v>
      </c>
      <c r="T12" s="183">
        <v>601</v>
      </c>
      <c r="U12" s="183">
        <v>605</v>
      </c>
      <c r="V12" s="183">
        <v>1496</v>
      </c>
      <c r="W12" s="183">
        <v>131</v>
      </c>
      <c r="X12" s="189">
        <v>140</v>
      </c>
      <c r="Y12" s="191">
        <v>35</v>
      </c>
      <c r="Z12" s="181">
        <v>28</v>
      </c>
      <c r="AA12" s="181">
        <v>16</v>
      </c>
      <c r="AB12" s="181">
        <v>47</v>
      </c>
      <c r="AC12" s="183">
        <v>0</v>
      </c>
      <c r="AD12" s="183">
        <v>0</v>
      </c>
      <c r="AE12" s="183">
        <v>0</v>
      </c>
      <c r="AF12" s="189">
        <v>0</v>
      </c>
      <c r="AG12" s="202">
        <v>8</v>
      </c>
      <c r="AH12" s="183">
        <v>21</v>
      </c>
      <c r="AI12" s="183">
        <v>16</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1504</v>
      </c>
      <c r="AZ12" s="127">
        <f t="shared" si="1"/>
        <v>622</v>
      </c>
      <c r="BA12" s="127">
        <f t="shared" si="1"/>
        <v>621</v>
      </c>
      <c r="BB12" s="127">
        <f t="shared" si="1"/>
        <v>1530</v>
      </c>
      <c r="BC12" s="125">
        <f>IF(ISNUMBER(X12),X12," - ")</f>
        <v>140</v>
      </c>
      <c r="BD12" s="126">
        <f t="shared" si="2"/>
        <v>0.99839228295819937</v>
      </c>
      <c r="BE12" s="127">
        <f t="shared" si="3"/>
        <v>2.4637681159420288</v>
      </c>
      <c r="BF12" s="127">
        <f t="shared" si="4"/>
        <v>0.22544283413848631</v>
      </c>
      <c r="BG12" s="196">
        <f t="shared" si="5"/>
        <v>3.423510466988728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1895</v>
      </c>
      <c r="J13" s="184">
        <f t="shared" si="6"/>
        <v>759</v>
      </c>
      <c r="K13" s="184">
        <f t="shared" si="6"/>
        <v>692</v>
      </c>
      <c r="L13" s="184">
        <f t="shared" si="6"/>
        <v>1962</v>
      </c>
      <c r="M13" s="184">
        <f t="shared" si="6"/>
        <v>221</v>
      </c>
      <c r="N13" s="184">
        <f t="shared" si="6"/>
        <v>216</v>
      </c>
      <c r="O13" s="184">
        <f t="shared" si="6"/>
        <v>366</v>
      </c>
      <c r="P13" s="184">
        <f t="shared" si="6"/>
        <v>181</v>
      </c>
      <c r="Q13" s="184">
        <f t="shared" si="6"/>
        <v>253</v>
      </c>
      <c r="R13" s="184">
        <f t="shared" si="6"/>
        <v>2151</v>
      </c>
      <c r="S13" s="184">
        <f t="shared" si="6"/>
        <v>1521</v>
      </c>
      <c r="T13" s="184">
        <f t="shared" si="6"/>
        <v>607</v>
      </c>
      <c r="U13" s="184">
        <f t="shared" si="6"/>
        <v>615</v>
      </c>
      <c r="V13" s="184">
        <f t="shared" si="6"/>
        <v>1517</v>
      </c>
      <c r="W13" s="184">
        <f t="shared" si="6"/>
        <v>138</v>
      </c>
      <c r="X13" s="184">
        <f t="shared" si="6"/>
        <v>142</v>
      </c>
      <c r="Y13" s="184">
        <f t="shared" si="6"/>
        <v>35</v>
      </c>
      <c r="Z13" s="184">
        <f t="shared" si="6"/>
        <v>28</v>
      </c>
      <c r="AA13" s="184">
        <f t="shared" si="6"/>
        <v>16</v>
      </c>
      <c r="AB13" s="184">
        <f t="shared" si="6"/>
        <v>47</v>
      </c>
      <c r="AC13" s="184">
        <f t="shared" si="6"/>
        <v>0</v>
      </c>
      <c r="AD13" s="184">
        <f t="shared" si="6"/>
        <v>0</v>
      </c>
      <c r="AE13" s="184">
        <f t="shared" si="6"/>
        <v>0</v>
      </c>
      <c r="AF13" s="184">
        <f>SUBTOTAL(9,AF9:AF12)</f>
        <v>0</v>
      </c>
      <c r="AG13" s="184">
        <f t="shared" ref="AG13:AT13" si="7">SUBTOTAL(9,AG8:AG12)</f>
        <v>8</v>
      </c>
      <c r="AH13" s="184">
        <f t="shared" si="7"/>
        <v>21</v>
      </c>
      <c r="AI13" s="184">
        <f t="shared" si="7"/>
        <v>16</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1529</v>
      </c>
      <c r="AZ13" s="184">
        <f>SUBTOTAL(9,AZ8:AZ12)</f>
        <v>628</v>
      </c>
      <c r="BA13" s="184">
        <f>SUBTOTAL(9,BA8:BA12)</f>
        <v>631</v>
      </c>
      <c r="BB13" s="184">
        <f>SUBTOTAL(9,BB8:BB12)</f>
        <v>1551</v>
      </c>
      <c r="BC13" s="184">
        <f>SUBTOTAL(9,BC8:BC12)</f>
        <v>147</v>
      </c>
      <c r="BD13" s="205">
        <f>IF(ISNUMBER(BA13/AZ13),BA13/AZ13," - ")</f>
        <v>1.0047770700636942</v>
      </c>
      <c r="BE13" s="206">
        <f>IF(ISNUMBER(BB13/BA13),BB13/BA13, " - ")</f>
        <v>2.4580031695721076</v>
      </c>
      <c r="BF13" s="206">
        <f>IF(ISNUMBER(BC13/BA13),BC13/BA13, " - ")</f>
        <v>0.23296354992076071</v>
      </c>
      <c r="BG13" s="207">
        <f>IF(ISNUMBER((AY13+AZ13)/BA13),(AY13+AZ13)/BA13," - ")</f>
        <v>3.4183835182250397</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1285</v>
      </c>
      <c r="J16" s="183">
        <v>585</v>
      </c>
      <c r="K16" s="183">
        <v>427</v>
      </c>
      <c r="L16" s="183">
        <v>1443</v>
      </c>
      <c r="M16" s="183">
        <v>103</v>
      </c>
      <c r="N16" s="183">
        <v>218</v>
      </c>
      <c r="O16" s="181">
        <v>0</v>
      </c>
      <c r="P16" s="183">
        <v>13</v>
      </c>
      <c r="Q16" s="183">
        <v>0</v>
      </c>
      <c r="R16" s="183">
        <v>71</v>
      </c>
      <c r="S16" s="183">
        <v>945</v>
      </c>
      <c r="T16" s="183">
        <v>552</v>
      </c>
      <c r="U16" s="183">
        <v>380</v>
      </c>
      <c r="V16" s="183">
        <v>547</v>
      </c>
      <c r="W16" s="183">
        <v>115</v>
      </c>
      <c r="X16" s="189">
        <v>190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945</v>
      </c>
      <c r="AZ16" s="127">
        <f t="shared" si="9"/>
        <v>552</v>
      </c>
      <c r="BA16" s="127">
        <f t="shared" si="9"/>
        <v>380</v>
      </c>
      <c r="BB16" s="127">
        <f t="shared" si="9"/>
        <v>547</v>
      </c>
      <c r="BC16" s="125">
        <f>IF(ISNUMBER(W16),W16," - ")</f>
        <v>115</v>
      </c>
      <c r="BD16" s="126">
        <f t="shared" ref="BD16" si="11">IF(ISNUMBER(BA16/AZ16),BA16/AZ16," - ")</f>
        <v>0.68840579710144922</v>
      </c>
      <c r="BE16" s="127">
        <f t="shared" ref="BE16" si="12">IF(ISNUMBER(BB16/BA16),BB16/BA16, " - ")</f>
        <v>1.4394736842105262</v>
      </c>
      <c r="BF16" s="127">
        <f t="shared" ref="BF16" si="13">IF(ISNUMBER(BC16/BA16),BC16/BA16, " - ")</f>
        <v>0.30263157894736842</v>
      </c>
      <c r="BG16" s="196">
        <f t="shared" si="10"/>
        <v>3.9394736842105265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64</v>
      </c>
      <c r="K17" s="183">
        <v>86</v>
      </c>
      <c r="L17" s="183">
        <v>75</v>
      </c>
      <c r="M17" s="183">
        <v>19</v>
      </c>
      <c r="N17" s="183">
        <v>44</v>
      </c>
      <c r="O17" s="183">
        <v>2</v>
      </c>
      <c r="P17" s="183">
        <v>0</v>
      </c>
      <c r="Q17" s="183">
        <v>0</v>
      </c>
      <c r="R17" s="183">
        <v>10</v>
      </c>
      <c r="S17" s="183">
        <v>31</v>
      </c>
      <c r="T17" s="183">
        <v>63</v>
      </c>
      <c r="U17" s="183">
        <v>46</v>
      </c>
      <c r="V17" s="183">
        <v>48</v>
      </c>
      <c r="W17" s="183">
        <v>11</v>
      </c>
      <c r="X17" s="189">
        <v>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31</v>
      </c>
      <c r="AZ17" s="129">
        <f t="shared" si="14"/>
        <v>63</v>
      </c>
      <c r="BA17" s="129">
        <f t="shared" si="14"/>
        <v>46</v>
      </c>
      <c r="BB17" s="129">
        <f t="shared" si="14"/>
        <v>48</v>
      </c>
      <c r="BC17" s="125">
        <f>IF(ISNUMBER(W17),W17," - ")</f>
        <v>11</v>
      </c>
      <c r="BD17" s="126">
        <f>IF(ISNUMBER(BA17/AZ17),BA17/AZ17," - ")</f>
        <v>0.73015873015873012</v>
      </c>
      <c r="BE17" s="127">
        <f>IF(ISNUMBER(BB17/BA17),BB17/BA17, " - ")</f>
        <v>1.0434782608695652</v>
      </c>
      <c r="BF17" s="127">
        <f>IF(ISNUMBER(BC17/BA17),BC17/BA17, " - ")</f>
        <v>0.2391304347826087</v>
      </c>
      <c r="BG17" s="196">
        <f>IF(ISNUMBER((AY17+AZ17)/BA17),(AY17+AZ17)/BA17," - ")</f>
        <v>2.0434782608695654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1382</v>
      </c>
      <c r="J18" s="184">
        <f t="shared" si="15"/>
        <v>649</v>
      </c>
      <c r="K18" s="184">
        <f t="shared" si="15"/>
        <v>513</v>
      </c>
      <c r="L18" s="184">
        <f t="shared" si="15"/>
        <v>1518</v>
      </c>
      <c r="M18" s="184">
        <f t="shared" si="15"/>
        <v>122</v>
      </c>
      <c r="N18" s="184">
        <f t="shared" si="15"/>
        <v>262</v>
      </c>
      <c r="O18" s="184">
        <f t="shared" si="15"/>
        <v>2</v>
      </c>
      <c r="P18" s="184">
        <f t="shared" si="15"/>
        <v>13</v>
      </c>
      <c r="Q18" s="184">
        <f t="shared" si="15"/>
        <v>0</v>
      </c>
      <c r="R18" s="184">
        <f t="shared" si="15"/>
        <v>81</v>
      </c>
      <c r="S18" s="184">
        <f t="shared" si="15"/>
        <v>976</v>
      </c>
      <c r="T18" s="184">
        <f t="shared" si="15"/>
        <v>615</v>
      </c>
      <c r="U18" s="184">
        <f t="shared" si="15"/>
        <v>426</v>
      </c>
      <c r="V18" s="184">
        <f t="shared" si="15"/>
        <v>595</v>
      </c>
      <c r="W18" s="184">
        <f t="shared" si="15"/>
        <v>126</v>
      </c>
      <c r="X18" s="184">
        <f t="shared" si="15"/>
        <v>220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976</v>
      </c>
      <c r="AZ18" s="184">
        <f>SUBTOTAL(9,AZ14:AZ17)</f>
        <v>615</v>
      </c>
      <c r="BA18" s="184">
        <f>SUBTOTAL(9,BA14:BA17)</f>
        <v>426</v>
      </c>
      <c r="BB18" s="184">
        <f>SUBTOTAL(9,BB14:BB17)</f>
        <v>595</v>
      </c>
      <c r="BC18" s="184">
        <f>SUBTOTAL(9,BC14:BC17)</f>
        <v>126</v>
      </c>
      <c r="BD18" s="205">
        <f>IF(ISNUMBER(BA18/AZ18),BA18/AZ18," - ")</f>
        <v>0.69268292682926824</v>
      </c>
      <c r="BE18" s="206">
        <f>IF(ISNUMBER(BB18/BA18),BB18/BA18, " - ")</f>
        <v>1.3967136150234742</v>
      </c>
      <c r="BF18" s="206">
        <f>IF(ISNUMBER(BC18/BA18),BC18/BA18, " - ")</f>
        <v>0.29577464788732394</v>
      </c>
      <c r="BG18" s="207">
        <f>IF(ISNUMBER((AY18+AZ18)/BA18),(AY18+AZ18)/BA18," - ")</f>
        <v>3.7347417840375585</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3277</v>
      </c>
      <c r="J19" s="134">
        <f t="shared" si="18"/>
        <v>1408</v>
      </c>
      <c r="K19" s="134">
        <f t="shared" si="18"/>
        <v>1205</v>
      </c>
      <c r="L19" s="134">
        <f t="shared" si="18"/>
        <v>3480</v>
      </c>
      <c r="M19" s="134">
        <f t="shared" si="18"/>
        <v>343</v>
      </c>
      <c r="N19" s="134">
        <f t="shared" si="18"/>
        <v>478</v>
      </c>
      <c r="O19" s="134">
        <f t="shared" si="18"/>
        <v>368</v>
      </c>
      <c r="P19" s="134">
        <f t="shared" si="18"/>
        <v>194</v>
      </c>
      <c r="Q19" s="134">
        <f t="shared" si="18"/>
        <v>253</v>
      </c>
      <c r="R19" s="134">
        <f t="shared" si="18"/>
        <v>2232</v>
      </c>
      <c r="S19" s="134">
        <f t="shared" si="18"/>
        <v>2497</v>
      </c>
      <c r="T19" s="134">
        <f t="shared" si="18"/>
        <v>1222</v>
      </c>
      <c r="U19" s="134">
        <f t="shared" si="18"/>
        <v>1041</v>
      </c>
      <c r="V19" s="134">
        <f t="shared" si="18"/>
        <v>2112</v>
      </c>
      <c r="W19" s="134">
        <f t="shared" si="18"/>
        <v>264</v>
      </c>
      <c r="X19" s="134">
        <f t="shared" si="18"/>
        <v>362</v>
      </c>
      <c r="Y19" s="134">
        <f t="shared" si="18"/>
        <v>35</v>
      </c>
      <c r="Z19" s="134">
        <f t="shared" si="18"/>
        <v>28</v>
      </c>
      <c r="AA19" s="134">
        <f t="shared" si="18"/>
        <v>16</v>
      </c>
      <c r="AB19" s="134">
        <f t="shared" si="18"/>
        <v>47</v>
      </c>
      <c r="AC19" s="134">
        <f t="shared" si="18"/>
        <v>0</v>
      </c>
      <c r="AD19" s="134">
        <f t="shared" si="18"/>
        <v>0</v>
      </c>
      <c r="AE19" s="134">
        <f t="shared" si="18"/>
        <v>0</v>
      </c>
      <c r="AF19" s="134">
        <f t="shared" si="18"/>
        <v>0</v>
      </c>
      <c r="AG19" s="134">
        <f t="shared" si="18"/>
        <v>8</v>
      </c>
      <c r="AH19" s="134">
        <f t="shared" si="18"/>
        <v>21</v>
      </c>
      <c r="AI19" s="134">
        <f t="shared" si="18"/>
        <v>16</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2505</v>
      </c>
      <c r="AZ19" s="134">
        <f>SUBTOTAL(9,AZ9:AZ18)</f>
        <v>1243</v>
      </c>
      <c r="BA19" s="134">
        <f>SUBTOTAL(9,BA9:BA18)</f>
        <v>1057</v>
      </c>
      <c r="BB19" s="134">
        <f>SUBTOTAL(9,BB9:BB18)</f>
        <v>2146</v>
      </c>
      <c r="BC19" s="135">
        <f>SUBTOTAL(9,BC9:BC18)</f>
        <v>273</v>
      </c>
      <c r="BD19" s="213">
        <f>IF(ISNUMBER(BA19/AZ19),BA19/AZ19," - ")</f>
        <v>0.85036202735317779</v>
      </c>
      <c r="BE19" s="210">
        <f>IF(ISNUMBER(BB19/BA19),BB19/BA19, " - ")</f>
        <v>2.0302743614001892</v>
      </c>
      <c r="BF19" s="210">
        <f>IF(ISNUMBER(BC19/BA19),BC19/BA19, " - ")</f>
        <v>0.25827814569536423</v>
      </c>
      <c r="BG19" s="135">
        <f>IF(ISNUMBER((AY19+AZ19)/BA19),(AY19+AZ19)/BA19," - ")</f>
        <v>3.5458845789971618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KVn9G2HUWh/UZOusormBTdi19WsN4onvz6Zw4DwGYYNGRCTK6roQ+ok82lm8gUNsLvT2G2Rbeb7f2ve4jj5Q==" saltValue="4ejIT+9PiBU68YnFRhYxj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VbjcH31qYqWGKY9Qa6oiRbA+i5w9Vp6za4UaPSMwGZLzX84l8z5WvW3/Lh0Vveqq3Hd+7OIeA2m4+jNKZKWMA==" saltValue="9iODxnMCBnc0ZMdtpPiS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32</v>
      </c>
      <c r="G10" s="333">
        <f>IF(ISNUMBER(Datos!I10),Datos!I10," - ")</f>
        <v>32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34</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0.2857142857142857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28</v>
      </c>
      <c r="O12" s="334"/>
      <c r="P12" s="334"/>
      <c r="Q12" s="226">
        <f>IF(ISNUMBER(Datos!P12),Datos!P12,0)</f>
        <v>179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47</v>
      </c>
      <c r="AI12" s="334" t="str">
        <f>IF(ISNUMBER(Datos!CD12),Datos!CD12,"-")</f>
        <v>-</v>
      </c>
      <c r="AJ12" s="334" t="str">
        <f>IF(ISNUMBER(Datos!EN12),Datos!EN12," - ")</f>
        <v xml:space="preserve"> - </v>
      </c>
      <c r="AK12" s="334"/>
      <c r="AL12" s="479"/>
      <c r="AM12" s="335">
        <f>IF(ISNUMBER(Datos!R12),Datos!R12," - ")</f>
        <v>2142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221</v>
      </c>
      <c r="BD12" s="229">
        <f>IF(ISNUMBER(Datos!N12),Datos!N12," - ")</f>
        <v>216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0.90191082802547773</v>
      </c>
      <c r="BH12" s="260">
        <f>IF(ISNUMBER(((IF(J_V="SI",Datos!L12/Datos!K12,(Datos!L12+Datos!AB12)/(Datos!K12+Datos!AA12)))*11)/factor_trimestre),((IF(J_V="SI",Datos!L12/Datos!K12,(Datos!L12+Datos!AB12)/(Datos!K12+Datos!AA12)))*11)/factor_trimestre," - ")</f>
        <v>8.3686440677966107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-3.3393501805054154E-2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32</v>
      </c>
      <c r="G13" s="898">
        <f t="shared" si="0"/>
        <v>32</v>
      </c>
      <c r="H13" s="899">
        <f t="shared" si="0"/>
        <v>0</v>
      </c>
      <c r="I13" s="898">
        <f t="shared" si="0"/>
        <v>0</v>
      </c>
      <c r="J13" s="867">
        <f t="shared" si="0"/>
        <v>0</v>
      </c>
      <c r="K13" s="867">
        <f t="shared" si="0"/>
        <v>0</v>
      </c>
      <c r="L13" s="899">
        <f t="shared" si="0"/>
        <v>0</v>
      </c>
      <c r="M13" s="899">
        <f t="shared" si="0"/>
        <v>0</v>
      </c>
      <c r="N13" s="899">
        <f t="shared" si="0"/>
        <v>28</v>
      </c>
      <c r="O13" s="900">
        <f t="shared" si="0"/>
        <v>0</v>
      </c>
      <c r="P13" s="900">
        <f t="shared" si="0"/>
        <v>0</v>
      </c>
      <c r="Q13" s="899">
        <f t="shared" si="0"/>
        <v>181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253</v>
      </c>
      <c r="AD13" s="899">
        <f t="shared" si="1"/>
        <v>0</v>
      </c>
      <c r="AE13" s="899">
        <f t="shared" si="1"/>
        <v>0</v>
      </c>
      <c r="AF13" s="899">
        <f t="shared" si="1"/>
        <v>34</v>
      </c>
      <c r="AG13" s="899">
        <f t="shared" si="1"/>
        <v>0</v>
      </c>
      <c r="AH13" s="899">
        <f t="shared" si="1"/>
        <v>47</v>
      </c>
      <c r="AI13" s="899">
        <f t="shared" si="1"/>
        <v>0</v>
      </c>
      <c r="AJ13" s="899">
        <f t="shared" si="1"/>
        <v>0</v>
      </c>
      <c r="AK13" s="899">
        <f t="shared" si="1"/>
        <v>0</v>
      </c>
      <c r="AL13" s="899">
        <f t="shared" si="1"/>
        <v>0</v>
      </c>
      <c r="AM13" s="899">
        <f t="shared" si="1"/>
        <v>2151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221</v>
      </c>
      <c r="BD13" s="899">
        <f t="shared" si="1"/>
        <v>216</v>
      </c>
      <c r="BE13" s="899">
        <f t="shared" si="1"/>
        <v>0</v>
      </c>
      <c r="BF13" s="899">
        <f t="shared" si="1"/>
        <v>0</v>
      </c>
      <c r="BG13" s="899">
        <f>IF(ISNUMBER(Datos!K13/Datos!J13),Datos!K13/Datos!J13," - ")</f>
        <v>0.91172595520421607</v>
      </c>
      <c r="BH13" s="903">
        <f>IF(ISNUMBER(((Datos!L13/Datos!K13)*11)/factor_trimestre),((Datos!L13/Datos!K13)*11)/factor_trimestre," - ")</f>
        <v>8.50578034682081</v>
      </c>
      <c r="BI13" s="899">
        <f>IF(ISNUMBER('Resol  Asuntos'!D13/NºAsuntos!G13),'Resol  Asuntos'!D13/NºAsuntos!G13," - ")</f>
        <v>0.31214689265536721</v>
      </c>
      <c r="BJ13" s="899" t="str">
        <f>IF(ISNUMBER(Datos!CI13/Datos!CJ13),Datos!CI13/Datos!CJ13," - ")</f>
        <v xml:space="preserve"> - </v>
      </c>
      <c r="BK13" s="899">
        <f>SUBTOTAL(9,BK8:BK12)</f>
        <v>0</v>
      </c>
      <c r="BL13" s="899">
        <f>IF(ISNUMBER((I13-AB13+L13)/(F13)),(I13-AB13+L13)/(F13)," - ")</f>
        <v>0</v>
      </c>
      <c r="BM13" s="904">
        <f>SUBTOTAL(9,BM9:BM12)</f>
        <v>0.25232078390923152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1285</v>
      </c>
      <c r="G16" s="598">
        <f>IF(ISNUMBER(IF(D_I="SI",Datos!I16,Datos!I16+Datos!AC16)),IF(D_I="SI",Datos!I16,Datos!I16+Datos!AC16)," - ")</f>
        <v>1285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427</v>
      </c>
      <c r="AC16" s="226">
        <f>IF(ISNUMBER(Datos!Q16),Datos!Q16," - ")</f>
        <v>0</v>
      </c>
      <c r="AD16" s="334"/>
      <c r="AE16" s="484"/>
      <c r="AF16" s="596">
        <f>IF(ISNUMBER(IF(D_I="SI",Datos!L16,Datos!L16+Datos!AF16)),IF(D_I="SI",Datos!L16,Datos!L16+Datos!AF16)," - ")</f>
        <v>1443</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103</v>
      </c>
      <c r="BD16" s="229">
        <f>IF(ISNUMBER(Datos!N16),Datos!N16," - ")</f>
        <v>218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0.72991452991452987</v>
      </c>
      <c r="BH16" s="260">
        <f>IF(ISNUMBER(((IF(D_I="SI",Datos!L16/Datos!K16,(Datos!L16+Datos!AF16)/(Datos!K16+Datos!AE16)))*11)/factor_trimestre),((IF(D_I="SI",Datos!L16/Datos!K16,(Datos!L16+Datos!AF16)/(Datos!K16+Datos!AE16)))*11)/factor_trimestre," - ")</f>
        <v>10.138173302107729</v>
      </c>
      <c r="BI16" s="243">
        <f>IF(ISNUMBER('Resol  Asuntos'!D16/NºAsuntos!G16),'Resol  Asuntos'!D16/NºAsuntos!G16," - ")</f>
        <v>0.24121779859484777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86</v>
      </c>
      <c r="AC17" s="226">
        <f>IF(ISNUMBER(Datos!Q17),Datos!Q17," - ")</f>
        <v>0</v>
      </c>
      <c r="AD17" s="334"/>
      <c r="AE17" s="484"/>
      <c r="AF17" s="332">
        <f>IF(ISNUMBER(Datos!L17),Datos!L17,"-")</f>
        <v>75</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19</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1.34375</v>
      </c>
      <c r="BH17" s="260">
        <f>IF(ISNUMBER(((IF(D_I="SI",Datos!L17/Datos!K17,(Datos!L17+Datos!AF17)/(Datos!K17+Datos!AE17)))*11)/factor_trimestre),((IF(D_I="SI",Datos!L17/Datos!K17,(Datos!L17+Datos!AF17)/(Datos!K17+Datos!AE17)))*11)/factor_trimestre," - ")</f>
        <v>2.6162790697674421</v>
      </c>
      <c r="BI17" s="243">
        <f>IF(ISNUMBER('Resol  Asuntos'!D17/NºAsuntos!G17),'Resol  Asuntos'!D17/NºAsuntos!G17," - ")</f>
        <v>0.22093023255813954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1285</v>
      </c>
      <c r="G18" s="898">
        <f>SUBTOTAL(9,G15:G17)</f>
        <v>1382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513</v>
      </c>
      <c r="AC18" s="899">
        <f t="shared" si="4"/>
        <v>0</v>
      </c>
      <c r="AD18" s="899">
        <f t="shared" si="4"/>
        <v>0</v>
      </c>
      <c r="AE18" s="899">
        <f t="shared" si="4"/>
        <v>0</v>
      </c>
      <c r="AF18" s="899">
        <f t="shared" si="4"/>
        <v>1518</v>
      </c>
      <c r="AG18" s="899">
        <f t="shared" si="4"/>
        <v>0</v>
      </c>
      <c r="AH18" s="899">
        <f t="shared" si="4"/>
        <v>0</v>
      </c>
      <c r="AI18" s="899">
        <f t="shared" si="4"/>
        <v>0</v>
      </c>
      <c r="AJ18" s="899">
        <f t="shared" si="4"/>
        <v>0</v>
      </c>
      <c r="AK18" s="899">
        <f t="shared" si="4"/>
        <v>0</v>
      </c>
      <c r="AL18" s="899">
        <f t="shared" si="4"/>
        <v>0</v>
      </c>
      <c r="AM18" s="899">
        <f t="shared" si="4"/>
        <v>81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122</v>
      </c>
      <c r="BD18" s="899">
        <f t="shared" si="4"/>
        <v>262</v>
      </c>
      <c r="BE18" s="899">
        <f t="shared" si="4"/>
        <v>0</v>
      </c>
      <c r="BF18" s="899">
        <f t="shared" si="4"/>
        <v>0</v>
      </c>
      <c r="BG18" s="899">
        <f>IF(ISNUMBER(Datos!K18/Datos!J18),Datos!K18/Datos!J18," - ")</f>
        <v>0.79044684129429887</v>
      </c>
      <c r="BH18" s="903">
        <f>IF(ISNUMBER(((Datos!L18/Datos!K18)*11)/factor_trimestre),((Datos!L18/Datos!K18)*11)/factor_trimestre," - ")</f>
        <v>8.8771929824561404</v>
      </c>
      <c r="BI18" s="899">
        <f>SUBTOTAL(9,BI15:BI17)</f>
        <v>0.4621480311529873</v>
      </c>
      <c r="BJ18" s="899">
        <f>SUBTOTAL(9,BJ15:BJ17)</f>
        <v>0</v>
      </c>
      <c r="BK18" s="899">
        <f>SUBTOTAL(9,BK15:BK17)</f>
        <v>0</v>
      </c>
      <c r="BL18" s="899">
        <f>IF(ISNUMBER((I18-AB18+L18)/(F18)),(I18-AB18+L18)/(F18)," - ")</f>
        <v>-0.39922178988326851</v>
      </c>
      <c r="BM18" s="905">
        <f>IF(ISNUMBER((Datos!P18-Datos!Q18)/(Datos!R18-Datos!P18+Datos!Q18)),(Datos!P18-Datos!Q18)/(Datos!R18-Datos!P18+Datos!Q18)," - ")</f>
        <v>0.19117647058823528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1317</v>
      </c>
      <c r="G19" s="820">
        <f t="shared" si="6"/>
        <v>1414</v>
      </c>
      <c r="H19" s="822">
        <f t="shared" si="6"/>
        <v>0</v>
      </c>
      <c r="I19" s="820">
        <f t="shared" si="6"/>
        <v>0</v>
      </c>
      <c r="J19" s="822">
        <f t="shared" si="6"/>
        <v>0</v>
      </c>
      <c r="K19" s="822">
        <f t="shared" si="6"/>
        <v>0</v>
      </c>
      <c r="L19" s="881">
        <f t="shared" si="6"/>
        <v>0</v>
      </c>
      <c r="M19" s="881">
        <f t="shared" si="6"/>
        <v>0</v>
      </c>
      <c r="N19" s="881">
        <f t="shared" si="6"/>
        <v>28</v>
      </c>
      <c r="O19" s="881">
        <f t="shared" si="6"/>
        <v>0</v>
      </c>
      <c r="P19" s="881">
        <f t="shared" si="6"/>
        <v>0</v>
      </c>
      <c r="Q19" s="822">
        <f t="shared" si="6"/>
        <v>194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513</v>
      </c>
      <c r="AC19" s="821">
        <f t="shared" si="7"/>
        <v>253</v>
      </c>
      <c r="AD19" s="821">
        <f t="shared" si="7"/>
        <v>0</v>
      </c>
      <c r="AE19" s="821">
        <f t="shared" si="7"/>
        <v>0</v>
      </c>
      <c r="AF19" s="828">
        <f t="shared" si="7"/>
        <v>1552</v>
      </c>
      <c r="AG19" s="828">
        <f t="shared" si="7"/>
        <v>0</v>
      </c>
      <c r="AH19" s="828">
        <f t="shared" si="7"/>
        <v>47</v>
      </c>
      <c r="AI19" s="828">
        <f t="shared" si="7"/>
        <v>0</v>
      </c>
      <c r="AJ19" s="821">
        <f t="shared" si="7"/>
        <v>0</v>
      </c>
      <c r="AK19" s="828">
        <f t="shared" si="7"/>
        <v>0</v>
      </c>
      <c r="AL19" s="828">
        <f t="shared" si="7"/>
        <v>0</v>
      </c>
      <c r="AM19" s="828">
        <f t="shared" si="7"/>
        <v>2232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343</v>
      </c>
      <c r="BD19" s="820">
        <f t="shared" si="7"/>
        <v>478</v>
      </c>
      <c r="BE19" s="820">
        <f t="shared" si="7"/>
        <v>0</v>
      </c>
      <c r="BF19" s="830">
        <f t="shared" si="7"/>
        <v>0</v>
      </c>
      <c r="BG19" s="915">
        <f>IF(ISNUMBER(Datos!K19/Datos!J19),Datos!K19/Datos!J19," - ")</f>
        <v>0.85582386363636365</v>
      </c>
      <c r="BH19" s="915">
        <f>IF(ISNUMBER(((Datos!L19/Datos!K19)*11)/factor_trimestre),((Datos!L19/Datos!K19)*11)/factor_trimestre," - ")</f>
        <v>8.6639004149377605</v>
      </c>
      <c r="BI19" s="813">
        <f>IF(ISNUMBER(Datos!J19/Datos!I19),Datos!J19/Datos!I19," - ")</f>
        <v>0.4296612755569118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-0.38952164009111617</v>
      </c>
      <c r="BM19" s="889">
        <f>IF(ISNUMBER((Datos!P19-Datos!Q19+R19)/(Datos!R19-Datos!P19+Datos!Q19-R19)),(Datos!P19-Datos!Q19+R19)/(Datos!R19-Datos!P19+Datos!Q19-R19)," - ")</f>
        <v>-2.5752946311654298E-2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723.41988729460104</v>
      </c>
      <c r="G21" s="552">
        <f>IF(ISNUMBER(STDEV(G8:G18)),STDEV(G8:G18),"-")</f>
        <v>702.33346780571401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246.14975116786121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94.977190244114226</v>
      </c>
      <c r="BD21" s="551"/>
      <c r="BE21" s="551">
        <f>IF(ISNUMBER(STDEV(BE8:BE18)),STDEV(BE8:BE18),"-")</f>
        <v>0</v>
      </c>
      <c r="BF21" s="556">
        <f>IF(ISNUMBER(STDEV(BF8:BF18)),STDEV(BF8:BF18),"-")</f>
        <v>0</v>
      </c>
      <c r="BG21" s="775">
        <f>IF(ISNUMBER(STDEV(BG8:BG18)),STDEV(BG8:BG18),"-")</f>
        <v>0.43841644253752449</v>
      </c>
      <c r="BH21" s="776">
        <f>IF(ISNUMBER(STDEV(BH8:BH18)),STDEV(BH8:BH18),"-")</f>
        <v>2.9270740661043551</v>
      </c>
      <c r="BI21" s="249">
        <f>IF(ISNUMBER(STDEV(BI8:BI18)),STDEV(BI8:BI18),"-")</f>
        <v>0.1092625036197052</v>
      </c>
      <c r="BJ21" s="230" t="str">
        <f>IF(ISNUMBER(BL21/BM21),BL21/BM21," - ")</f>
        <v xml:space="preserve"> - </v>
      </c>
      <c r="BK21" s="575"/>
      <c r="BL21" s="559">
        <f>IF(ISNUMBER(STDEV(BL8:BL18)),STDEV(BL8:BL18),"-")</f>
        <v>0.28229243482389021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cy9XfMY6mITd6fqOoFr3avSxG/juNOnXmDlOGOuzoMIwrwDYKuKtOs90t39//jN/Znh8YCR7eKdwebdUiIdvw==" saltValue="TRjvHJwBQ6qpS/rIyjLO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CERVERA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32</v>
      </c>
      <c r="G10" s="225">
        <f>IF(ISNUMBER(Datos!I10),Datos!I10," - ")</f>
        <v>32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34</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0.2857142857142857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253</v>
      </c>
      <c r="AA12" s="332" t="str">
        <f>IF(ISNUMBER(IF(J_V="SI",Datos!L12,Datos!L12+Datos!AB12)-IF(Monitorios="SI",Datos!CD12,0)),
                          IF(J_V="SI",Datos!L12,Datos!L12+Datos!AB12)-IF(Monitorios="SI",Datos!CD12,0),
                          " - ")</f>
        <v xml:space="preserve"> - </v>
      </c>
      <c r="AB12" s="334"/>
      <c r="AC12" s="334"/>
      <c r="AD12" s="484"/>
      <c r="AE12" s="484">
        <f>IF(ISNUMBER(Datos!R12),Datos!R12," - ")</f>
        <v>2142</v>
      </c>
      <c r="AF12" s="229" t="str">
        <f>IF(ISNUMBER(Datos!BV12),Datos!BV12," - ")</f>
        <v xml:space="preserve"> - </v>
      </c>
      <c r="AG12" s="225" t="str">
        <f>IF(ISNUMBER(Datos!DV12),Datos!DV12," - ")</f>
        <v xml:space="preserve"> - </v>
      </c>
      <c r="AH12" s="298"/>
      <c r="AI12" s="227"/>
      <c r="AJ12" s="225">
        <f>IF(ISNUMBER(Datos!M12),Datos!M12," - ")</f>
        <v>221</v>
      </c>
      <c r="AK12" s="229">
        <f>IF(ISNUMBER(Datos!N12),Datos!N12," - ")</f>
        <v>216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8.3686440677966107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-3.3393501805054154E-2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32</v>
      </c>
      <c r="G13" s="898">
        <f>SUBTOTAL(9,G8:G12)</f>
        <v>32</v>
      </c>
      <c r="H13" s="908"/>
      <c r="I13" s="898">
        <f t="shared" ref="I13:N13" si="0">SUBTOTAL(9,I8:I12)</f>
        <v>0</v>
      </c>
      <c r="J13" s="867">
        <f t="shared" si="0"/>
        <v>0</v>
      </c>
      <c r="K13" s="908">
        <f t="shared" si="0"/>
        <v>0</v>
      </c>
      <c r="L13" s="908">
        <f t="shared" si="0"/>
        <v>0</v>
      </c>
      <c r="M13" s="908">
        <f t="shared" si="0"/>
        <v>0</v>
      </c>
      <c r="N13" s="908">
        <f t="shared" si="0"/>
        <v>181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253</v>
      </c>
      <c r="AA13" s="900">
        <f t="shared" si="2"/>
        <v>34</v>
      </c>
      <c r="AB13" s="900">
        <f t="shared" si="2"/>
        <v>0</v>
      </c>
      <c r="AC13" s="900">
        <f t="shared" si="2"/>
        <v>0</v>
      </c>
      <c r="AD13" s="900">
        <f t="shared" si="2"/>
        <v>0</v>
      </c>
      <c r="AE13" s="900">
        <f t="shared" si="2"/>
        <v>2151</v>
      </c>
      <c r="AF13" s="908">
        <f t="shared" si="2"/>
        <v>0</v>
      </c>
      <c r="AG13" s="908">
        <f t="shared" si="2"/>
        <v>0</v>
      </c>
      <c r="AH13" s="908">
        <f t="shared" si="2"/>
        <v>0</v>
      </c>
      <c r="AI13" s="908">
        <f t="shared" si="2"/>
        <v>0</v>
      </c>
      <c r="AJ13" s="908">
        <f t="shared" si="2"/>
        <v>221</v>
      </c>
      <c r="AK13" s="908">
        <f t="shared" si="2"/>
        <v>216</v>
      </c>
      <c r="AL13" s="908">
        <f t="shared" si="2"/>
        <v>0</v>
      </c>
      <c r="AM13" s="908">
        <f t="shared" si="2"/>
        <v>0</v>
      </c>
      <c r="AN13" s="908">
        <f t="shared" si="2"/>
        <v>0</v>
      </c>
      <c r="AO13" s="904">
        <f>IF(ISNUMBER(((NºAsuntos!I13/NºAsuntos!G13)*11)/factor_trimestre),((NºAsuntos!I13/NºAsuntos!G13)*11)/factor_trimestre," - ")</f>
        <v>8.5127118644067803</v>
      </c>
      <c r="AP13" s="910" t="str">
        <f>IF(ISNUMBER(Datos!CI13/Datos!CJ13),Datos!CI13/Datos!CJ13," - ")</f>
        <v xml:space="preserve"> - </v>
      </c>
      <c r="AQ13" s="928">
        <f t="shared" ref="AQ13:AV13" si="3">SUBTOTAL(9,AQ9:AQ12)</f>
        <v>0</v>
      </c>
      <c r="AR13" s="928">
        <f t="shared" si="3"/>
        <v>0.25232078390923152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1285</v>
      </c>
      <c r="G16" s="225">
        <f>IF(ISNUMBER(IF(D_I="SI",Datos!I16,Datos!I16+Datos!AC16)),IF(D_I="SI",Datos!I16,Datos!I16+Datos!AC16)," - ")</f>
        <v>1285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427</v>
      </c>
      <c r="Z16" s="619">
        <f>IF(ISNUMBER(Datos!Q16),Datos!Q16," - ")</f>
        <v>0</v>
      </c>
      <c r="AA16" s="332">
        <f>IF(ISNUMBER(IF(D_I="SI",Datos!L16,Datos!L16+Datos!AF16)),IF(D_I="SI",Datos!L16,Datos!L16+Datos!AF16)," - ")</f>
        <v>1443</v>
      </c>
      <c r="AB16" s="334"/>
      <c r="AC16" s="334"/>
      <c r="AD16" s="484"/>
      <c r="AE16" s="484">
        <f>IF(ISNUMBER(Datos!R16),Datos!R16," - ")</f>
        <v>71</v>
      </c>
      <c r="AF16" s="229" t="str">
        <f>IF(ISNUMBER(Datos!BV16),Datos!BV16," - ")</f>
        <v xml:space="preserve"> - </v>
      </c>
      <c r="AG16" s="225"/>
      <c r="AH16" s="298"/>
      <c r="AI16" s="227"/>
      <c r="AJ16" s="225">
        <f>IF(ISNUMBER(Datos!M16),Datos!M16," - ")</f>
        <v>103</v>
      </c>
      <c r="AK16" s="229">
        <f>IF(ISNUMBER(Datos!N16),Datos!N16," - ")</f>
        <v>218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10.138173302107729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86</v>
      </c>
      <c r="Z17" s="619">
        <f>IF(ISNUMBER(Datos!Q17),Datos!Q17," - ")</f>
        <v>0</v>
      </c>
      <c r="AA17" s="332">
        <f>IF(ISNUMBER(Datos!L17),Datos!L17,"-")</f>
        <v>75</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19</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2.6162790697674421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1285</v>
      </c>
      <c r="G18" s="898">
        <f>SUBTOTAL(9,G15:G17)</f>
        <v>1382</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513</v>
      </c>
      <c r="Z18" s="932">
        <f t="shared" si="5"/>
        <v>0</v>
      </c>
      <c r="AA18" s="932">
        <f t="shared" si="5"/>
        <v>1518</v>
      </c>
      <c r="AB18" s="932">
        <f t="shared" si="5"/>
        <v>0</v>
      </c>
      <c r="AC18" s="932">
        <f t="shared" si="5"/>
        <v>0</v>
      </c>
      <c r="AD18" s="932">
        <f t="shared" si="5"/>
        <v>0</v>
      </c>
      <c r="AE18" s="932">
        <f t="shared" si="5"/>
        <v>81</v>
      </c>
      <c r="AF18" s="932">
        <f t="shared" si="5"/>
        <v>0</v>
      </c>
      <c r="AG18" s="932">
        <f t="shared" si="5"/>
        <v>0</v>
      </c>
      <c r="AH18" s="932">
        <f t="shared" si="5"/>
        <v>0</v>
      </c>
      <c r="AI18" s="932">
        <f t="shared" si="5"/>
        <v>0</v>
      </c>
      <c r="AJ18" s="932">
        <f t="shared" si="5"/>
        <v>122</v>
      </c>
      <c r="AK18" s="932">
        <f t="shared" si="5"/>
        <v>262</v>
      </c>
      <c r="AL18" s="932">
        <f t="shared" si="5"/>
        <v>0</v>
      </c>
      <c r="AM18" s="932">
        <f t="shared" si="5"/>
        <v>0</v>
      </c>
      <c r="AN18" s="932">
        <f t="shared" si="5"/>
        <v>0</v>
      </c>
      <c r="AO18" s="934">
        <f>IF(ISNUMBER(((NºAsuntos!I18/NºAsuntos!G18)*11)/factor_trimestre),((NºAsuntos!I18/NºAsuntos!G18)*11)/factor_trimestre," - ")</f>
        <v>8.8771929824561404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1317</v>
      </c>
      <c r="G19" s="820">
        <f t="shared" si="7"/>
        <v>1414</v>
      </c>
      <c r="H19" s="821">
        <f t="shared" si="7"/>
        <v>0</v>
      </c>
      <c r="I19" s="820">
        <f t="shared" si="7"/>
        <v>0</v>
      </c>
      <c r="J19" s="822">
        <f t="shared" si="7"/>
        <v>0</v>
      </c>
      <c r="K19" s="820">
        <f t="shared" si="7"/>
        <v>0</v>
      </c>
      <c r="L19" s="823">
        <f t="shared" si="7"/>
        <v>0</v>
      </c>
      <c r="M19" s="820">
        <f t="shared" si="7"/>
        <v>0</v>
      </c>
      <c r="N19" s="821">
        <f t="shared" si="7"/>
        <v>194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513</v>
      </c>
      <c r="Z19" s="827">
        <f t="shared" si="8"/>
        <v>253</v>
      </c>
      <c r="AA19" s="828">
        <f t="shared" si="8"/>
        <v>1552</v>
      </c>
      <c r="AB19" s="828">
        <f t="shared" si="8"/>
        <v>0</v>
      </c>
      <c r="AC19" s="828">
        <f t="shared" si="8"/>
        <v>0</v>
      </c>
      <c r="AD19" s="829">
        <f t="shared" si="8"/>
        <v>0</v>
      </c>
      <c r="AE19" s="829">
        <f t="shared" si="8"/>
        <v>2232</v>
      </c>
      <c r="AF19" s="830">
        <f t="shared" si="8"/>
        <v>0</v>
      </c>
      <c r="AG19" s="831">
        <f t="shared" si="8"/>
        <v>0</v>
      </c>
      <c r="AH19" s="832">
        <f t="shared" si="8"/>
        <v>0</v>
      </c>
      <c r="AI19" s="830">
        <f t="shared" si="8"/>
        <v>0</v>
      </c>
      <c r="AJ19" s="820">
        <f t="shared" si="8"/>
        <v>343</v>
      </c>
      <c r="AK19" s="820">
        <f t="shared" si="8"/>
        <v>478</v>
      </c>
      <c r="AL19" s="820">
        <f t="shared" si="8"/>
        <v>0</v>
      </c>
      <c r="AM19" s="833">
        <f t="shared" si="8"/>
        <v>0</v>
      </c>
      <c r="AN19" s="823">
        <f>IF(ISNUMBER(Datos!K19/Datos!J19),Datos!K19/Datos!J19," - ")</f>
        <v>0.85582386363636365</v>
      </c>
      <c r="AO19" s="823">
        <f>IF(ISNUMBER(FIND("06",Criterios!A8,1)),(IF(ISNUMBER(((Datos!R19/Datos!Q19)*11)/factor_trimestre),((Datos!R19/Datos!Q19)*11)/factor_trimestre," - ")),(IF(ISNUMBER(((Datos!L19/Datos!K19)*11)/factor_trimestre),((Datos!L19/Datos!K19)*11)/factor_trimestre," - ")))</f>
        <v>8.6639004149377605</v>
      </c>
      <c r="AP19" s="834" t="str">
        <f>IF(ISNUMBER(Datos!CI19/Datos!CJ19),Datos!CI19/Datos!CJ19," - ")</f>
        <v xml:space="preserve"> - </v>
      </c>
      <c r="AQ19" s="834">
        <f>IF(OR(ISNUMBER(FIND("01",Criterios!A8,1)),ISNUMBER(FIND("02",Criterios!A8,1)),ISNUMBER(FIND("03",Criterios!A8,1)),ISNUMBER(FIND("04",Criterios!A8,1))),(J19-Y19+K19)/(F19-K19),(I19-Y19+K19)/(F19-K19))</f>
        <v>-0.38952164009111617</v>
      </c>
      <c r="AR19" s="834">
        <f>IF(ISNUMBER((Datos!P19-Datos!Q19+O19)/(Datos!R19-Datos!P19+Datos!Q19-O19)),(Datos!P19-Datos!Q19+O19)/(Datos!R19-Datos!P19+Datos!Q19-O19)," - ")</f>
        <v>-2.5752946311654298E-2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723.41988729460104</v>
      </c>
      <c r="G21" s="552">
        <f>IF(ISNUMBER(STDEV(G8:G18)),STDEV(G8:G18),"-")</f>
        <v>702.33346780571401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94.977190244114226</v>
      </c>
      <c r="AK21" s="252"/>
      <c r="AL21" s="252">
        <f>IF(ISNUMBER(STDEV(AL8:AL18)),STDEV(AL8:AL18),"-")</f>
        <v>0</v>
      </c>
      <c r="AM21" s="254">
        <f>IF(ISNUMBER(STDEV(AM8:AM18)),STDEV(AM8:AM18),"-")</f>
        <v>0</v>
      </c>
      <c r="AN21" s="539">
        <f>IF(ISNUMBER(STDEV(AN8:AN18)),STDEV(AN8:AN18),"-")</f>
        <v>0</v>
      </c>
      <c r="AO21" s="540">
        <f>IF(ISNUMBER(STDEV(AO8:AO18)),STDEV(AO8:AO18),"-")</f>
        <v>2.9275519859942865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bdcM6etozDsaXn24Jg9r8THzYRr1k7BZbPs+EcN3vjJYgsH6oejpe30WSfchLrnyo/Av3msdKGebzF+rHpDT9w==" saltValue="lIg/a1rFLI/PC5d1VVJ64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dwKRt9xnVXoHTAI3dh0VcNI1I+wgjETgOTw5EwVk2mTkcNyPARQYCjWYX8PP0nYO8VDuoT/ierDQB+buDusOZA==" saltValue="f3R8FgPXNCUuL8tvczIV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YK1jTTeo3XTYxJPaBBMu5d5f4FXJV1CrC7wwRw5/fC4kWtPsaqgKF59PGwgfdyQeLZj5UkEVm+yqLydLBO5Q==" saltValue="h4uss2ocmVYeRnLx28wfH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CERVERA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0.31214689265536721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0.22072118452291947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c8heA80+VEAa+HbE45kVQ/XHw0mmm5eLq7ZlZBhFkFuK2Sv1jxg50dIwMAPyzQ1LpthyVYn/9sND1fItYvyQhg==" saltValue="g6uvuuA175vnGqqpZzvY/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1jcVqAh9JVsnS2VZ6syUa3TLPky4piEYf5gqIZlFY4KSuLCKQjBOMxDaYk5Dx42F6wsOdGewY9zdqYjGPpEdw==" saltValue="Lm/4saLTsIAA+HdyBvn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CERVERA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32</v>
      </c>
      <c r="G10" s="684">
        <f>IF(ISNUMBER(Datos!I10),Datos!I10," - ")</f>
        <v>32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2142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221</v>
      </c>
      <c r="AM12" s="690">
        <f>IF(ISNUMBER(Datos!N12+DatosP!N16),Datos!N12+DatosP!N16," - ")</f>
        <v>216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8.3686440677966107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-3.3393501805054154E-2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32</v>
      </c>
      <c r="G13" s="938">
        <f t="shared" si="0"/>
        <v>32</v>
      </c>
      <c r="H13" s="938">
        <f t="shared" si="0"/>
        <v>0</v>
      </c>
      <c r="I13" s="940">
        <f t="shared" si="0"/>
        <v>0</v>
      </c>
      <c r="J13" s="939">
        <f t="shared" si="0"/>
        <v>0</v>
      </c>
      <c r="K13" s="939">
        <f t="shared" si="0"/>
        <v>0</v>
      </c>
      <c r="L13" s="941">
        <f t="shared" si="0"/>
        <v>0</v>
      </c>
      <c r="M13" s="941">
        <f t="shared" si="0"/>
        <v>0</v>
      </c>
      <c r="N13" s="939">
        <f t="shared" si="0"/>
        <v>181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253</v>
      </c>
      <c r="AE13" s="939">
        <f t="shared" si="1"/>
        <v>0</v>
      </c>
      <c r="AF13" s="939">
        <f t="shared" si="1"/>
        <v>34</v>
      </c>
      <c r="AG13" s="939">
        <f t="shared" si="1"/>
        <v>0</v>
      </c>
      <c r="AH13" s="939">
        <f t="shared" si="1"/>
        <v>2142</v>
      </c>
      <c r="AI13" s="939">
        <f t="shared" si="1"/>
        <v>0</v>
      </c>
      <c r="AJ13" s="939">
        <f t="shared" si="1"/>
        <v>0</v>
      </c>
      <c r="AK13" s="939">
        <f t="shared" si="1"/>
        <v>0</v>
      </c>
      <c r="AL13" s="939">
        <f t="shared" si="1"/>
        <v>221</v>
      </c>
      <c r="AM13" s="939">
        <f t="shared" si="1"/>
        <v>216</v>
      </c>
      <c r="AN13" s="939">
        <f t="shared" si="1"/>
        <v>0</v>
      </c>
      <c r="AO13" s="939">
        <f t="shared" si="1"/>
        <v>0</v>
      </c>
      <c r="AP13" s="944">
        <f>IF(ISNUMBER(((Datos!L13/Datos!K13)*11)/factor_trimestre),((Datos!L13/Datos!K13)*11)/factor_trimestre," - ")</f>
        <v>8.50578034682081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-3.3393501805054154E-2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8.8771929824561404</v>
      </c>
      <c r="AQ18" s="944">
        <f>IF(ISNUMBER(((Datos!M18/Datos!L18)*11)/factor_trimestre),((Datos!M18/Datos!L18)*11)/factor_trimestre," - ")</f>
        <v>0.24110671936758893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0.19117647058823528</v>
      </c>
      <c r="AW18" s="946">
        <f>IF(ISNUMBER((Datos!Q18-Datos!R18)/(Datos!S18-Datos!Q18+Datos!R18)),(Datos!Q18-Datos!R18)/(Datos!S18-Datos!Q18+Datos!R18)," - ")</f>
        <v>-7.6631977294228951E-2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32</v>
      </c>
      <c r="G19" s="951">
        <f t="shared" si="4"/>
        <v>32</v>
      </c>
      <c r="H19" s="951">
        <f t="shared" si="4"/>
        <v>0</v>
      </c>
      <c r="I19" s="952">
        <f t="shared" si="4"/>
        <v>0</v>
      </c>
      <c r="J19" s="953">
        <f t="shared" si="4"/>
        <v>0</v>
      </c>
      <c r="K19" s="953">
        <f t="shared" si="4"/>
        <v>0</v>
      </c>
      <c r="L19" s="953">
        <f t="shared" si="4"/>
        <v>0</v>
      </c>
      <c r="M19" s="953">
        <f t="shared" si="4"/>
        <v>0</v>
      </c>
      <c r="N19" s="952">
        <f t="shared" si="4"/>
        <v>181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253</v>
      </c>
      <c r="AE19" s="957">
        <f t="shared" si="5"/>
        <v>0</v>
      </c>
      <c r="AF19" s="958">
        <f t="shared" si="5"/>
        <v>34</v>
      </c>
      <c r="AG19" s="958">
        <f t="shared" si="5"/>
        <v>0</v>
      </c>
      <c r="AH19" s="958">
        <f t="shared" si="5"/>
        <v>2142</v>
      </c>
      <c r="AI19" s="958">
        <f t="shared" si="5"/>
        <v>0</v>
      </c>
      <c r="AJ19" s="959">
        <f t="shared" si="5"/>
        <v>0</v>
      </c>
      <c r="AK19" s="959">
        <f t="shared" si="5"/>
        <v>0</v>
      </c>
      <c r="AL19" s="951">
        <f t="shared" si="5"/>
        <v>221</v>
      </c>
      <c r="AM19" s="951">
        <f t="shared" si="5"/>
        <v>216</v>
      </c>
      <c r="AN19" s="951">
        <f t="shared" si="5"/>
        <v>0</v>
      </c>
      <c r="AO19" s="951">
        <f t="shared" si="5"/>
        <v>0</v>
      </c>
      <c r="AP19" s="951">
        <f>IF(ISNUMBER(((Datos!L19/Datos!K19)*11)/factor_trimestre),((Datos!L19/Datos!K19)*11)/factor_trimestre," - ")</f>
        <v>8.6639004149377605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-2.5752946311654298E-2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18.475208614068027</v>
      </c>
      <c r="G21" s="737">
        <f>IF(ISNUMBER(STDEV(G8:G18)),STDEV(G8:G18),"-")</f>
        <v>18.475208614068027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127.5944094909073</v>
      </c>
      <c r="AM21" s="736"/>
      <c r="AN21" s="736">
        <f>IF(ISNUMBER(STDEV(AN8:AN18)),STDEV(AN8:AN18),"-")</f>
        <v>0</v>
      </c>
      <c r="AO21" s="742">
        <f>IF(ISNUMBER(STDEV(AO8:AO18)),STDEV(AO8:AO18),"-")</f>
        <v>0</v>
      </c>
      <c r="AP21" s="779">
        <f>IF(ISNUMBER(STDEV(AP8:AP18)),STDEV(AP8:AP18),"-")</f>
        <v>0.26311458325717185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1dbLd22svqpMnQftgfMx/v+6FLKQrTE6vIqTTwzeWZ5ZT4cXoX4+LiZUuxj8CZiQbJiESEbzagPcjhOv2huaJQ==" saltValue="VwD6RhzuH1VlUeTL27UkP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